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5 CERSAD - Godoy\"/>
    </mc:Choice>
  </mc:AlternateContent>
  <xr:revisionPtr revIDLastSave="0" documentId="8_{8FDE805D-0A26-4486-9138-B2DEB4E44398}" xr6:coauthVersionLast="47" xr6:coauthVersionMax="47" xr10:uidLastSave="{00000000-0000-0000-0000-000000000000}"/>
  <bookViews>
    <workbookView xWindow="-120" yWindow="-120" windowWidth="24240" windowHeight="13140" tabRatio="817" firstSheet="6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Faturas!$AB$1:$AE$226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34" r:id="rId49"/>
    <pivotCache cacheId="35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5" i="89" l="1"/>
  <c r="AN206" i="89"/>
  <c r="D73" i="71"/>
  <c r="AP8" i="71" l="1"/>
  <c r="H37" i="50" l="1"/>
  <c r="F175" i="49" s="1"/>
  <c r="I37" i="50"/>
  <c r="G175" i="49" s="1"/>
  <c r="J37" i="50"/>
  <c r="H175" i="49" s="1"/>
  <c r="K37" i="50"/>
  <c r="I175" i="49" s="1"/>
  <c r="L37" i="50"/>
  <c r="J175" i="49" s="1"/>
  <c r="M37" i="50"/>
  <c r="K175" i="49" s="1"/>
  <c r="H41" i="58" l="1"/>
  <c r="J41" i="58" s="1"/>
  <c r="E72" i="71" l="1"/>
  <c r="K53" i="58"/>
  <c r="J53" i="58" l="1"/>
  <c r="AU248" i="89" l="1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205" i="89"/>
  <c r="AO206" i="89"/>
  <c r="AM186" i="89"/>
  <c r="AS262" i="89" s="1"/>
  <c r="AN186" i="89"/>
  <c r="C64" i="64" s="1"/>
  <c r="AM187" i="89"/>
  <c r="AS263" i="89" s="1"/>
  <c r="AS264" i="89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5" i="89" l="1"/>
  <c r="AU252" i="89"/>
  <c r="AU262" i="89"/>
  <c r="AU269" i="89"/>
  <c r="AU261" i="89"/>
  <c r="AU268" i="89"/>
  <c r="AU260" i="89"/>
  <c r="AU251" i="89"/>
  <c r="AU270" i="89"/>
  <c r="AU267" i="89"/>
  <c r="AU259" i="89"/>
  <c r="AU250" i="89"/>
  <c r="AU256" i="89"/>
  <c r="B62" i="64"/>
  <c r="B73" i="64"/>
  <c r="B61" i="64"/>
  <c r="B70" i="64"/>
  <c r="B58" i="64"/>
  <c r="B69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F149" i="49" s="1"/>
  <c r="I11" i="50"/>
  <c r="G149" i="49" s="1"/>
  <c r="J11" i="50"/>
  <c r="H149" i="49" s="1"/>
  <c r="K11" i="50"/>
  <c r="I149" i="49" s="1"/>
  <c r="L11" i="50"/>
  <c r="J149" i="49" s="1"/>
  <c r="M11" i="50"/>
  <c r="K149" i="49" s="1"/>
  <c r="H12" i="50"/>
  <c r="F150" i="49" s="1"/>
  <c r="I12" i="50"/>
  <c r="G150" i="49" s="1"/>
  <c r="J12" i="50"/>
  <c r="H150" i="49" s="1"/>
  <c r="K12" i="50"/>
  <c r="I150" i="49" s="1"/>
  <c r="L12" i="50"/>
  <c r="J150" i="49" s="1"/>
  <c r="M12" i="50"/>
  <c r="K150" i="49" s="1"/>
  <c r="H13" i="50"/>
  <c r="F151" i="49" s="1"/>
  <c r="I13" i="50"/>
  <c r="G151" i="49" s="1"/>
  <c r="J13" i="50"/>
  <c r="H151" i="49" s="1"/>
  <c r="K13" i="50"/>
  <c r="I151" i="49" s="1"/>
  <c r="L13" i="50"/>
  <c r="J151" i="49" s="1"/>
  <c r="M13" i="50"/>
  <c r="K151" i="49" s="1"/>
  <c r="H14" i="50"/>
  <c r="F152" i="49" s="1"/>
  <c r="I14" i="50"/>
  <c r="G152" i="49" s="1"/>
  <c r="J14" i="50"/>
  <c r="H152" i="49" s="1"/>
  <c r="K14" i="50"/>
  <c r="I152" i="49" s="1"/>
  <c r="L14" i="50"/>
  <c r="J152" i="49" s="1"/>
  <c r="M14" i="50"/>
  <c r="K152" i="49" s="1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F153" i="49" s="1"/>
  <c r="I15" i="50"/>
  <c r="G153" i="49" s="1"/>
  <c r="J15" i="50"/>
  <c r="H153" i="49" s="1"/>
  <c r="K15" i="50"/>
  <c r="I153" i="49" s="1"/>
  <c r="L15" i="50"/>
  <c r="J153" i="49" s="1"/>
  <c r="M15" i="50"/>
  <c r="K153" i="49" s="1"/>
  <c r="H16" i="50"/>
  <c r="F154" i="49" s="1"/>
  <c r="I16" i="50"/>
  <c r="G154" i="49" s="1"/>
  <c r="J16" i="50"/>
  <c r="H154" i="49" s="1"/>
  <c r="K16" i="50"/>
  <c r="I154" i="49" s="1"/>
  <c r="L16" i="50"/>
  <c r="J154" i="49" s="1"/>
  <c r="M16" i="50"/>
  <c r="K154" i="49" s="1"/>
  <c r="H17" i="50"/>
  <c r="F155" i="49" s="1"/>
  <c r="I17" i="50"/>
  <c r="G155" i="49" s="1"/>
  <c r="J17" i="50"/>
  <c r="H155" i="49" s="1"/>
  <c r="K17" i="50"/>
  <c r="I155" i="49" s="1"/>
  <c r="L17" i="50"/>
  <c r="J155" i="49" s="1"/>
  <c r="M17" i="50"/>
  <c r="K155" i="49" s="1"/>
  <c r="H18" i="50"/>
  <c r="F156" i="49" s="1"/>
  <c r="I18" i="50"/>
  <c r="G156" i="49" s="1"/>
  <c r="J18" i="50"/>
  <c r="H156" i="49" s="1"/>
  <c r="K18" i="50"/>
  <c r="I156" i="49" s="1"/>
  <c r="L18" i="50"/>
  <c r="J156" i="49" s="1"/>
  <c r="M18" i="50"/>
  <c r="K156" i="49" s="1"/>
  <c r="H19" i="50"/>
  <c r="F157" i="49" s="1"/>
  <c r="I19" i="50"/>
  <c r="G157" i="49" s="1"/>
  <c r="J19" i="50"/>
  <c r="H157" i="49" s="1"/>
  <c r="K19" i="50"/>
  <c r="I157" i="49" s="1"/>
  <c r="L19" i="50"/>
  <c r="J157" i="49" s="1"/>
  <c r="M19" i="50"/>
  <c r="K157" i="49" s="1"/>
  <c r="H20" i="50"/>
  <c r="F158" i="49" s="1"/>
  <c r="I20" i="50"/>
  <c r="G158" i="49" s="1"/>
  <c r="J20" i="50"/>
  <c r="H158" i="49" s="1"/>
  <c r="K20" i="50"/>
  <c r="I158" i="49" s="1"/>
  <c r="L20" i="50"/>
  <c r="J158" i="49" s="1"/>
  <c r="M20" i="50"/>
  <c r="K158" i="49" s="1"/>
  <c r="H21" i="50"/>
  <c r="F159" i="49" s="1"/>
  <c r="I21" i="50"/>
  <c r="G159" i="49" s="1"/>
  <c r="J21" i="50"/>
  <c r="H159" i="49" s="1"/>
  <c r="K21" i="50"/>
  <c r="I159" i="49" s="1"/>
  <c r="L21" i="50"/>
  <c r="J159" i="49" s="1"/>
  <c r="M21" i="50"/>
  <c r="K159" i="49" s="1"/>
  <c r="H22" i="50"/>
  <c r="F160" i="49" s="1"/>
  <c r="I22" i="50"/>
  <c r="G160" i="49" s="1"/>
  <c r="J22" i="50"/>
  <c r="H160" i="49" s="1"/>
  <c r="K22" i="50"/>
  <c r="I160" i="49" s="1"/>
  <c r="L22" i="50"/>
  <c r="J160" i="49" s="1"/>
  <c r="M22" i="50"/>
  <c r="K160" i="49" s="1"/>
  <c r="H23" i="50"/>
  <c r="F161" i="49" s="1"/>
  <c r="I23" i="50"/>
  <c r="G161" i="49" s="1"/>
  <c r="J23" i="50"/>
  <c r="H161" i="49" s="1"/>
  <c r="K23" i="50"/>
  <c r="I161" i="49" s="1"/>
  <c r="L23" i="50"/>
  <c r="J161" i="49" s="1"/>
  <c r="M23" i="50"/>
  <c r="K161" i="49" s="1"/>
  <c r="H24" i="50"/>
  <c r="F162" i="49" s="1"/>
  <c r="I24" i="50"/>
  <c r="G162" i="49" s="1"/>
  <c r="J24" i="50"/>
  <c r="H162" i="49" s="1"/>
  <c r="K24" i="50"/>
  <c r="I162" i="49" s="1"/>
  <c r="L24" i="50"/>
  <c r="J162" i="49" s="1"/>
  <c r="M24" i="50"/>
  <c r="K162" i="49" s="1"/>
  <c r="H25" i="50"/>
  <c r="F163" i="49" s="1"/>
  <c r="I25" i="50"/>
  <c r="G163" i="49" s="1"/>
  <c r="J25" i="50"/>
  <c r="H163" i="49" s="1"/>
  <c r="K25" i="50"/>
  <c r="I163" i="49" s="1"/>
  <c r="L25" i="50"/>
  <c r="J163" i="49" s="1"/>
  <c r="M25" i="50"/>
  <c r="K163" i="49" s="1"/>
  <c r="H26" i="50"/>
  <c r="F164" i="49" s="1"/>
  <c r="I26" i="50"/>
  <c r="G164" i="49" s="1"/>
  <c r="J26" i="50"/>
  <c r="H164" i="49" s="1"/>
  <c r="K26" i="50"/>
  <c r="I164" i="49" s="1"/>
  <c r="L26" i="50"/>
  <c r="J164" i="49" s="1"/>
  <c r="M26" i="50"/>
  <c r="K164" i="49" s="1"/>
  <c r="H27" i="50"/>
  <c r="F165" i="49" s="1"/>
  <c r="I27" i="50"/>
  <c r="G165" i="49" s="1"/>
  <c r="J27" i="50"/>
  <c r="H165" i="49" s="1"/>
  <c r="K27" i="50"/>
  <c r="I165" i="49" s="1"/>
  <c r="L27" i="50"/>
  <c r="J165" i="49" s="1"/>
  <c r="M27" i="50"/>
  <c r="K165" i="49" s="1"/>
  <c r="H28" i="50"/>
  <c r="F166" i="49" s="1"/>
  <c r="I28" i="50"/>
  <c r="G166" i="49" s="1"/>
  <c r="J28" i="50"/>
  <c r="H166" i="49" s="1"/>
  <c r="K28" i="50"/>
  <c r="I166" i="49" s="1"/>
  <c r="L28" i="50"/>
  <c r="J166" i="49" s="1"/>
  <c r="M28" i="50"/>
  <c r="K166" i="49" s="1"/>
  <c r="H29" i="50"/>
  <c r="F167" i="49" s="1"/>
  <c r="I29" i="50"/>
  <c r="G167" i="49" s="1"/>
  <c r="J29" i="50"/>
  <c r="H167" i="49" s="1"/>
  <c r="K29" i="50"/>
  <c r="I167" i="49" s="1"/>
  <c r="L29" i="50"/>
  <c r="J167" i="49" s="1"/>
  <c r="M29" i="50"/>
  <c r="K167" i="49" s="1"/>
  <c r="H30" i="50"/>
  <c r="F168" i="49" s="1"/>
  <c r="I30" i="50"/>
  <c r="G168" i="49" s="1"/>
  <c r="J30" i="50"/>
  <c r="H168" i="49" s="1"/>
  <c r="K30" i="50"/>
  <c r="I168" i="49" s="1"/>
  <c r="L30" i="50"/>
  <c r="J168" i="49" s="1"/>
  <c r="M30" i="50"/>
  <c r="K168" i="49" s="1"/>
  <c r="H31" i="50"/>
  <c r="F169" i="49" s="1"/>
  <c r="I31" i="50"/>
  <c r="G169" i="49" s="1"/>
  <c r="J31" i="50"/>
  <c r="H169" i="49" s="1"/>
  <c r="K31" i="50"/>
  <c r="I169" i="49" s="1"/>
  <c r="L31" i="50"/>
  <c r="J169" i="49" s="1"/>
  <c r="M31" i="50"/>
  <c r="K169" i="49" s="1"/>
  <c r="H32" i="50"/>
  <c r="F170" i="49" s="1"/>
  <c r="I32" i="50"/>
  <c r="G170" i="49" s="1"/>
  <c r="J32" i="50"/>
  <c r="H170" i="49" s="1"/>
  <c r="K32" i="50"/>
  <c r="I170" i="49" s="1"/>
  <c r="L32" i="50"/>
  <c r="J170" i="49" s="1"/>
  <c r="M32" i="50"/>
  <c r="K170" i="49" s="1"/>
  <c r="H33" i="50"/>
  <c r="F171" i="49" s="1"/>
  <c r="I33" i="50"/>
  <c r="G171" i="49" s="1"/>
  <c r="J33" i="50"/>
  <c r="H171" i="49" s="1"/>
  <c r="K33" i="50"/>
  <c r="I171" i="49" s="1"/>
  <c r="L33" i="50"/>
  <c r="J171" i="49" s="1"/>
  <c r="M33" i="50"/>
  <c r="K171" i="49" s="1"/>
  <c r="H34" i="50"/>
  <c r="F172" i="49" s="1"/>
  <c r="I34" i="50"/>
  <c r="G172" i="49" s="1"/>
  <c r="J34" i="50"/>
  <c r="H172" i="49" s="1"/>
  <c r="K34" i="50"/>
  <c r="I172" i="49" s="1"/>
  <c r="L34" i="50"/>
  <c r="J172" i="49" s="1"/>
  <c r="M34" i="50"/>
  <c r="K172" i="49" s="1"/>
  <c r="H35" i="50"/>
  <c r="F173" i="49" s="1"/>
  <c r="I35" i="50"/>
  <c r="G173" i="49" s="1"/>
  <c r="J35" i="50"/>
  <c r="H173" i="49" s="1"/>
  <c r="K35" i="50"/>
  <c r="I173" i="49" s="1"/>
  <c r="L35" i="50"/>
  <c r="J173" i="49" s="1"/>
  <c r="M35" i="50"/>
  <c r="K173" i="49" s="1"/>
  <c r="H36" i="50"/>
  <c r="F174" i="49" s="1"/>
  <c r="I36" i="50"/>
  <c r="G174" i="49" s="1"/>
  <c r="J36" i="50"/>
  <c r="H174" i="49" s="1"/>
  <c r="K36" i="50"/>
  <c r="I174" i="49" s="1"/>
  <c r="L36" i="50"/>
  <c r="J174" i="49" s="1"/>
  <c r="M36" i="50"/>
  <c r="K174" i="49" s="1"/>
  <c r="H38" i="50"/>
  <c r="F176" i="49" s="1"/>
  <c r="I38" i="50"/>
  <c r="G176" i="49" s="1"/>
  <c r="J38" i="50"/>
  <c r="H176" i="49" s="1"/>
  <c r="K38" i="50"/>
  <c r="I176" i="49" s="1"/>
  <c r="L38" i="50"/>
  <c r="J176" i="49" s="1"/>
  <c r="M38" i="50"/>
  <c r="K176" i="49" s="1"/>
  <c r="H39" i="50"/>
  <c r="F177" i="49" s="1"/>
  <c r="I39" i="50"/>
  <c r="G177" i="49" s="1"/>
  <c r="J39" i="50"/>
  <c r="H177" i="49" s="1"/>
  <c r="K39" i="50"/>
  <c r="I177" i="49" s="1"/>
  <c r="L39" i="50"/>
  <c r="J177" i="49" s="1"/>
  <c r="M39" i="50"/>
  <c r="K177" i="49" s="1"/>
  <c r="H40" i="50"/>
  <c r="F178" i="49" s="1"/>
  <c r="I40" i="50"/>
  <c r="G178" i="49" s="1"/>
  <c r="J40" i="50"/>
  <c r="H178" i="49" s="1"/>
  <c r="K40" i="50"/>
  <c r="I178" i="49" s="1"/>
  <c r="L40" i="50"/>
  <c r="J178" i="49" s="1"/>
  <c r="M40" i="50"/>
  <c r="K178" i="49" s="1"/>
  <c r="H41" i="50"/>
  <c r="F179" i="49" s="1"/>
  <c r="I41" i="50"/>
  <c r="G179" i="49" s="1"/>
  <c r="J41" i="50"/>
  <c r="H179" i="49" s="1"/>
  <c r="K41" i="50"/>
  <c r="I179" i="49" s="1"/>
  <c r="L41" i="50"/>
  <c r="J179" i="49" s="1"/>
  <c r="M41" i="50"/>
  <c r="K179" i="49" s="1"/>
  <c r="H42" i="50"/>
  <c r="F180" i="49" s="1"/>
  <c r="I42" i="50"/>
  <c r="G180" i="49" s="1"/>
  <c r="J42" i="50"/>
  <c r="H180" i="49" s="1"/>
  <c r="K42" i="50"/>
  <c r="I180" i="49" s="1"/>
  <c r="L42" i="50"/>
  <c r="J180" i="49" s="1"/>
  <c r="M42" i="50"/>
  <c r="K180" i="49" s="1"/>
  <c r="H43" i="50"/>
  <c r="F181" i="49" s="1"/>
  <c r="I43" i="50"/>
  <c r="G181" i="49" s="1"/>
  <c r="J43" i="50"/>
  <c r="H181" i="49" s="1"/>
  <c r="K43" i="50"/>
  <c r="I181" i="49" s="1"/>
  <c r="L43" i="50"/>
  <c r="J181" i="49" s="1"/>
  <c r="M43" i="50"/>
  <c r="K181" i="49" s="1"/>
  <c r="H44" i="50"/>
  <c r="I44" i="50"/>
  <c r="J44" i="50"/>
  <c r="K44" i="50"/>
  <c r="L44" i="50"/>
  <c r="M44" i="50"/>
  <c r="H45" i="50"/>
  <c r="I45" i="50"/>
  <c r="J45" i="50"/>
  <c r="K45" i="50"/>
  <c r="L45" i="50"/>
  <c r="M45" i="50"/>
  <c r="H46" i="50"/>
  <c r="F184" i="49" s="1"/>
  <c r="I46" i="50"/>
  <c r="G184" i="49" s="1"/>
  <c r="J46" i="50"/>
  <c r="H184" i="49" s="1"/>
  <c r="K46" i="50"/>
  <c r="I184" i="49" s="1"/>
  <c r="L46" i="50"/>
  <c r="J184" i="49" s="1"/>
  <c r="M46" i="50"/>
  <c r="K184" i="49" s="1"/>
  <c r="H47" i="50"/>
  <c r="F185" i="49" s="1"/>
  <c r="I47" i="50"/>
  <c r="G185" i="49" s="1"/>
  <c r="J47" i="50"/>
  <c r="H185" i="49" s="1"/>
  <c r="K47" i="50"/>
  <c r="I185" i="49" s="1"/>
  <c r="L47" i="50"/>
  <c r="J185" i="49" s="1"/>
  <c r="M47" i="50"/>
  <c r="K185" i="49" s="1"/>
  <c r="H48" i="50"/>
  <c r="F186" i="49" s="1"/>
  <c r="I48" i="50"/>
  <c r="G186" i="49" s="1"/>
  <c r="J48" i="50"/>
  <c r="H186" i="49" s="1"/>
  <c r="K48" i="50"/>
  <c r="I186" i="49" s="1"/>
  <c r="L48" i="50"/>
  <c r="J186" i="49" s="1"/>
  <c r="M48" i="50"/>
  <c r="K186" i="49" s="1"/>
  <c r="H49" i="50"/>
  <c r="F187" i="49" s="1"/>
  <c r="I49" i="50"/>
  <c r="G187" i="49" s="1"/>
  <c r="J49" i="50"/>
  <c r="H187" i="49" s="1"/>
  <c r="K49" i="50"/>
  <c r="I187" i="49" s="1"/>
  <c r="L49" i="50"/>
  <c r="J187" i="49" s="1"/>
  <c r="M49" i="50"/>
  <c r="K187" i="49" s="1"/>
  <c r="H50" i="50"/>
  <c r="F188" i="49" s="1"/>
  <c r="I50" i="50"/>
  <c r="G188" i="49" s="1"/>
  <c r="J50" i="50"/>
  <c r="H188" i="49" s="1"/>
  <c r="K50" i="50"/>
  <c r="I188" i="49" s="1"/>
  <c r="L50" i="50"/>
  <c r="J188" i="49" s="1"/>
  <c r="M50" i="50"/>
  <c r="K188" i="49" s="1"/>
  <c r="H51" i="50"/>
  <c r="F189" i="49" s="1"/>
  <c r="I51" i="50"/>
  <c r="G189" i="49" s="1"/>
  <c r="J51" i="50"/>
  <c r="H189" i="49" s="1"/>
  <c r="K51" i="50"/>
  <c r="I189" i="49" s="1"/>
  <c r="L51" i="50"/>
  <c r="J189" i="49" s="1"/>
  <c r="M51" i="50"/>
  <c r="K189" i="49" s="1"/>
  <c r="H52" i="50"/>
  <c r="F190" i="49" s="1"/>
  <c r="I52" i="50"/>
  <c r="G190" i="49" s="1"/>
  <c r="J52" i="50"/>
  <c r="H190" i="49" s="1"/>
  <c r="K52" i="50"/>
  <c r="I190" i="49" s="1"/>
  <c r="L52" i="50"/>
  <c r="J190" i="49" s="1"/>
  <c r="M52" i="50"/>
  <c r="K190" i="49" s="1"/>
  <c r="H53" i="50"/>
  <c r="F191" i="49" s="1"/>
  <c r="I53" i="50"/>
  <c r="G191" i="49" s="1"/>
  <c r="J53" i="50"/>
  <c r="H191" i="49" s="1"/>
  <c r="K53" i="50"/>
  <c r="I191" i="49" s="1"/>
  <c r="L53" i="50"/>
  <c r="J191" i="49" s="1"/>
  <c r="M53" i="50"/>
  <c r="K191" i="49" s="1"/>
  <c r="H54" i="50"/>
  <c r="F192" i="49" s="1"/>
  <c r="I54" i="50"/>
  <c r="G192" i="49" s="1"/>
  <c r="J54" i="50"/>
  <c r="H192" i="49" s="1"/>
  <c r="K54" i="50"/>
  <c r="I192" i="49" s="1"/>
  <c r="L54" i="50"/>
  <c r="J192" i="49" s="1"/>
  <c r="M54" i="50"/>
  <c r="K192" i="49" s="1"/>
  <c r="H55" i="50"/>
  <c r="F193" i="49" s="1"/>
  <c r="I55" i="50"/>
  <c r="G193" i="49" s="1"/>
  <c r="J55" i="50"/>
  <c r="H193" i="49" s="1"/>
  <c r="K55" i="50"/>
  <c r="I193" i="49" s="1"/>
  <c r="L55" i="50"/>
  <c r="J193" i="49" s="1"/>
  <c r="M55" i="50"/>
  <c r="K193" i="49" s="1"/>
  <c r="H56" i="50"/>
  <c r="F194" i="49" s="1"/>
  <c r="I56" i="50"/>
  <c r="G194" i="49" s="1"/>
  <c r="J56" i="50"/>
  <c r="H194" i="49" s="1"/>
  <c r="K56" i="50"/>
  <c r="I194" i="49" s="1"/>
  <c r="L56" i="50"/>
  <c r="J194" i="49" s="1"/>
  <c r="M56" i="50"/>
  <c r="K194" i="49" s="1"/>
  <c r="H57" i="50"/>
  <c r="F195" i="49" s="1"/>
  <c r="I57" i="50"/>
  <c r="G195" i="49" s="1"/>
  <c r="J57" i="50"/>
  <c r="H195" i="49" s="1"/>
  <c r="K57" i="50"/>
  <c r="I195" i="49" s="1"/>
  <c r="L57" i="50"/>
  <c r="J195" i="49" s="1"/>
  <c r="M57" i="50"/>
  <c r="K195" i="49" s="1"/>
  <c r="H58" i="50"/>
  <c r="F196" i="49" s="1"/>
  <c r="I58" i="50"/>
  <c r="G196" i="49" s="1"/>
  <c r="J58" i="50"/>
  <c r="H196" i="49" s="1"/>
  <c r="K58" i="50"/>
  <c r="I196" i="49" s="1"/>
  <c r="L58" i="50"/>
  <c r="J196" i="49" s="1"/>
  <c r="M58" i="50"/>
  <c r="K196" i="49" s="1"/>
  <c r="H59" i="50"/>
  <c r="F197" i="49" s="1"/>
  <c r="I59" i="50"/>
  <c r="G197" i="49" s="1"/>
  <c r="J59" i="50"/>
  <c r="H197" i="49" s="1"/>
  <c r="K59" i="50"/>
  <c r="I197" i="49" s="1"/>
  <c r="L59" i="50"/>
  <c r="J197" i="49" s="1"/>
  <c r="M59" i="50"/>
  <c r="K197" i="49" s="1"/>
  <c r="H60" i="50"/>
  <c r="F198" i="49" s="1"/>
  <c r="I60" i="50"/>
  <c r="G198" i="49" s="1"/>
  <c r="J60" i="50"/>
  <c r="H198" i="49" s="1"/>
  <c r="K60" i="50"/>
  <c r="I198" i="49" s="1"/>
  <c r="L60" i="50"/>
  <c r="J198" i="49" s="1"/>
  <c r="M60" i="50"/>
  <c r="K198" i="49" s="1"/>
  <c r="H61" i="50"/>
  <c r="F199" i="49" s="1"/>
  <c r="I61" i="50"/>
  <c r="G199" i="49" s="1"/>
  <c r="J61" i="50"/>
  <c r="H199" i="49" s="1"/>
  <c r="K61" i="50"/>
  <c r="I199" i="49" s="1"/>
  <c r="L61" i="50"/>
  <c r="J199" i="49" s="1"/>
  <c r="M61" i="50"/>
  <c r="K199" i="49" s="1"/>
  <c r="H62" i="50"/>
  <c r="F200" i="49" s="1"/>
  <c r="I62" i="50"/>
  <c r="G200" i="49" s="1"/>
  <c r="J62" i="50"/>
  <c r="H200" i="49" s="1"/>
  <c r="K62" i="50"/>
  <c r="I200" i="49" s="1"/>
  <c r="L62" i="50"/>
  <c r="J200" i="49" s="1"/>
  <c r="M62" i="50"/>
  <c r="K200" i="49" s="1"/>
  <c r="H63" i="50"/>
  <c r="F201" i="49" s="1"/>
  <c r="I63" i="50"/>
  <c r="G201" i="49" s="1"/>
  <c r="J63" i="50"/>
  <c r="H201" i="49" s="1"/>
  <c r="K63" i="50"/>
  <c r="I201" i="49" s="1"/>
  <c r="L63" i="50"/>
  <c r="J201" i="49" s="1"/>
  <c r="M63" i="50"/>
  <c r="K201" i="49" s="1"/>
  <c r="H64" i="50"/>
  <c r="F202" i="49" s="1"/>
  <c r="I64" i="50"/>
  <c r="G202" i="49" s="1"/>
  <c r="J64" i="50"/>
  <c r="H202" i="49" s="1"/>
  <c r="K64" i="50"/>
  <c r="I202" i="49" s="1"/>
  <c r="L64" i="50"/>
  <c r="J202" i="49" s="1"/>
  <c r="M64" i="50"/>
  <c r="K202" i="49" s="1"/>
  <c r="H65" i="50"/>
  <c r="F203" i="49" s="1"/>
  <c r="I65" i="50"/>
  <c r="G203" i="49" s="1"/>
  <c r="J65" i="50"/>
  <c r="H203" i="49" s="1"/>
  <c r="K65" i="50"/>
  <c r="I203" i="49" s="1"/>
  <c r="L65" i="50"/>
  <c r="J203" i="49" s="1"/>
  <c r="M65" i="50"/>
  <c r="K203" i="49" s="1"/>
  <c r="H66" i="50"/>
  <c r="F204" i="49" s="1"/>
  <c r="I66" i="50"/>
  <c r="G204" i="49" s="1"/>
  <c r="J66" i="50"/>
  <c r="H204" i="49" s="1"/>
  <c r="K66" i="50"/>
  <c r="I204" i="49" s="1"/>
  <c r="L66" i="50"/>
  <c r="J204" i="49" s="1"/>
  <c r="M66" i="50"/>
  <c r="K204" i="49" s="1"/>
  <c r="H67" i="50"/>
  <c r="F205" i="49" s="1"/>
  <c r="I67" i="50"/>
  <c r="G205" i="49" s="1"/>
  <c r="J67" i="50"/>
  <c r="H205" i="49" s="1"/>
  <c r="K67" i="50"/>
  <c r="I205" i="49" s="1"/>
  <c r="L67" i="50"/>
  <c r="J205" i="49" s="1"/>
  <c r="M67" i="50"/>
  <c r="K205" i="49" s="1"/>
  <c r="H68" i="50"/>
  <c r="F206" i="49" s="1"/>
  <c r="I68" i="50"/>
  <c r="G206" i="49" s="1"/>
  <c r="J68" i="50"/>
  <c r="H206" i="49" s="1"/>
  <c r="K68" i="50"/>
  <c r="I206" i="49" s="1"/>
  <c r="L68" i="50"/>
  <c r="J206" i="49" s="1"/>
  <c r="M68" i="50"/>
  <c r="K206" i="49" s="1"/>
  <c r="H69" i="50"/>
  <c r="F207" i="49" s="1"/>
  <c r="I69" i="50"/>
  <c r="G207" i="49" s="1"/>
  <c r="J69" i="50"/>
  <c r="H207" i="49" s="1"/>
  <c r="K69" i="50"/>
  <c r="I207" i="49" s="1"/>
  <c r="L69" i="50"/>
  <c r="J207" i="49" s="1"/>
  <c r="M69" i="50"/>
  <c r="K207" i="49" s="1"/>
  <c r="H70" i="50"/>
  <c r="F208" i="49" s="1"/>
  <c r="I70" i="50"/>
  <c r="G208" i="49" s="1"/>
  <c r="J70" i="50"/>
  <c r="H208" i="49" s="1"/>
  <c r="K70" i="50"/>
  <c r="I208" i="49" s="1"/>
  <c r="L70" i="50"/>
  <c r="J208" i="49" s="1"/>
  <c r="M70" i="50"/>
  <c r="K208" i="49" s="1"/>
  <c r="H71" i="50"/>
  <c r="F209" i="49" s="1"/>
  <c r="I71" i="50"/>
  <c r="G209" i="49" s="1"/>
  <c r="J71" i="50"/>
  <c r="H209" i="49" s="1"/>
  <c r="K71" i="50"/>
  <c r="I209" i="49" s="1"/>
  <c r="L71" i="50"/>
  <c r="J209" i="49" s="1"/>
  <c r="M71" i="50"/>
  <c r="K209" i="49" s="1"/>
  <c r="H72" i="50"/>
  <c r="F210" i="49" s="1"/>
  <c r="I72" i="50"/>
  <c r="G210" i="49" s="1"/>
  <c r="J72" i="50"/>
  <c r="H210" i="49" s="1"/>
  <c r="K72" i="50"/>
  <c r="I210" i="49" s="1"/>
  <c r="L72" i="50"/>
  <c r="J210" i="49" s="1"/>
  <c r="M72" i="50"/>
  <c r="K210" i="49" s="1"/>
  <c r="H73" i="50"/>
  <c r="F211" i="49" s="1"/>
  <c r="I73" i="50"/>
  <c r="G211" i="49" s="1"/>
  <c r="J73" i="50"/>
  <c r="H211" i="49" s="1"/>
  <c r="K73" i="50"/>
  <c r="I211" i="49" s="1"/>
  <c r="L73" i="50"/>
  <c r="J211" i="49" s="1"/>
  <c r="M73" i="50"/>
  <c r="K211" i="49" s="1"/>
  <c r="H74" i="50"/>
  <c r="F212" i="49" s="1"/>
  <c r="I74" i="50"/>
  <c r="G212" i="49" s="1"/>
  <c r="J74" i="50"/>
  <c r="H212" i="49" s="1"/>
  <c r="K74" i="50"/>
  <c r="I212" i="49" s="1"/>
  <c r="L74" i="50"/>
  <c r="J212" i="49" s="1"/>
  <c r="M74" i="50"/>
  <c r="K212" i="49" s="1"/>
  <c r="H75" i="50"/>
  <c r="F213" i="49" s="1"/>
  <c r="I75" i="50"/>
  <c r="G213" i="49" s="1"/>
  <c r="J75" i="50"/>
  <c r="H213" i="49" s="1"/>
  <c r="K75" i="50"/>
  <c r="I213" i="49" s="1"/>
  <c r="L75" i="50"/>
  <c r="J213" i="49" s="1"/>
  <c r="M75" i="50"/>
  <c r="K213" i="49" s="1"/>
  <c r="H76" i="50"/>
  <c r="F214" i="49" s="1"/>
  <c r="I76" i="50"/>
  <c r="G214" i="49" s="1"/>
  <c r="J76" i="50"/>
  <c r="H214" i="49" s="1"/>
  <c r="K76" i="50"/>
  <c r="I214" i="49" s="1"/>
  <c r="L76" i="50"/>
  <c r="J214" i="49" s="1"/>
  <c r="M76" i="50"/>
  <c r="K214" i="49" s="1"/>
  <c r="H77" i="50"/>
  <c r="F215" i="49" s="1"/>
  <c r="I77" i="50"/>
  <c r="G215" i="49" s="1"/>
  <c r="J77" i="50"/>
  <c r="H215" i="49" s="1"/>
  <c r="K77" i="50"/>
  <c r="I215" i="49" s="1"/>
  <c r="L77" i="50"/>
  <c r="J215" i="49" s="1"/>
  <c r="M77" i="50"/>
  <c r="K215" i="49" s="1"/>
  <c r="H78" i="50"/>
  <c r="F216" i="49" s="1"/>
  <c r="I78" i="50"/>
  <c r="G216" i="49" s="1"/>
  <c r="J78" i="50"/>
  <c r="H216" i="49" s="1"/>
  <c r="K78" i="50"/>
  <c r="I216" i="49" s="1"/>
  <c r="L78" i="50"/>
  <c r="J216" i="49" s="1"/>
  <c r="M78" i="50"/>
  <c r="K216" i="49" s="1"/>
  <c r="H79" i="50"/>
  <c r="F217" i="49" s="1"/>
  <c r="I79" i="50"/>
  <c r="G217" i="49" s="1"/>
  <c r="J79" i="50"/>
  <c r="H217" i="49" s="1"/>
  <c r="K79" i="50"/>
  <c r="I217" i="49" s="1"/>
  <c r="L79" i="50"/>
  <c r="J217" i="49" s="1"/>
  <c r="M79" i="50"/>
  <c r="K217" i="49" s="1"/>
  <c r="H80" i="50"/>
  <c r="F218" i="49" s="1"/>
  <c r="I80" i="50"/>
  <c r="G218" i="49" s="1"/>
  <c r="J80" i="50"/>
  <c r="H218" i="49" s="1"/>
  <c r="K80" i="50"/>
  <c r="I218" i="49" s="1"/>
  <c r="L80" i="50"/>
  <c r="J218" i="49" s="1"/>
  <c r="M80" i="50"/>
  <c r="K218" i="49" s="1"/>
  <c r="H81" i="50"/>
  <c r="F219" i="49" s="1"/>
  <c r="I81" i="50"/>
  <c r="G219" i="49" s="1"/>
  <c r="J81" i="50"/>
  <c r="H219" i="49" s="1"/>
  <c r="K81" i="50"/>
  <c r="I219" i="49" s="1"/>
  <c r="L81" i="50"/>
  <c r="J219" i="49" s="1"/>
  <c r="M81" i="50"/>
  <c r="K219" i="49" s="1"/>
  <c r="H82" i="50"/>
  <c r="F220" i="49" s="1"/>
  <c r="I82" i="50"/>
  <c r="G220" i="49" s="1"/>
  <c r="J82" i="50"/>
  <c r="H220" i="49" s="1"/>
  <c r="K82" i="50"/>
  <c r="I220" i="49" s="1"/>
  <c r="L82" i="50"/>
  <c r="J220" i="49" s="1"/>
  <c r="M82" i="50"/>
  <c r="K220" i="49" s="1"/>
  <c r="H83" i="50"/>
  <c r="F221" i="49" s="1"/>
  <c r="I83" i="50"/>
  <c r="G221" i="49" s="1"/>
  <c r="J83" i="50"/>
  <c r="H221" i="49" s="1"/>
  <c r="K83" i="50"/>
  <c r="I221" i="49" s="1"/>
  <c r="L83" i="50"/>
  <c r="J221" i="49" s="1"/>
  <c r="M83" i="50"/>
  <c r="K221" i="49" s="1"/>
  <c r="H84" i="50"/>
  <c r="F222" i="49" s="1"/>
  <c r="I84" i="50"/>
  <c r="G222" i="49" s="1"/>
  <c r="J84" i="50"/>
  <c r="H222" i="49" s="1"/>
  <c r="K84" i="50"/>
  <c r="I222" i="49" s="1"/>
  <c r="L84" i="50"/>
  <c r="J222" i="49" s="1"/>
  <c r="M84" i="50"/>
  <c r="K222" i="49" s="1"/>
  <c r="H85" i="50"/>
  <c r="F223" i="49" s="1"/>
  <c r="I85" i="50"/>
  <c r="G223" i="49" s="1"/>
  <c r="J85" i="50"/>
  <c r="H223" i="49" s="1"/>
  <c r="K85" i="50"/>
  <c r="I223" i="49" s="1"/>
  <c r="L85" i="50"/>
  <c r="J223" i="49" s="1"/>
  <c r="M85" i="50"/>
  <c r="K223" i="49" s="1"/>
  <c r="H86" i="50"/>
  <c r="F224" i="49" s="1"/>
  <c r="I86" i="50"/>
  <c r="G224" i="49" s="1"/>
  <c r="J86" i="50"/>
  <c r="H224" i="49" s="1"/>
  <c r="K86" i="50"/>
  <c r="I224" i="49" s="1"/>
  <c r="L86" i="50"/>
  <c r="J224" i="49" s="1"/>
  <c r="M86" i="50"/>
  <c r="K224" i="49" s="1"/>
  <c r="H87" i="50"/>
  <c r="F225" i="49" s="1"/>
  <c r="I87" i="50"/>
  <c r="G225" i="49" s="1"/>
  <c r="J87" i="50"/>
  <c r="H225" i="49" s="1"/>
  <c r="K87" i="50"/>
  <c r="I225" i="49" s="1"/>
  <c r="L87" i="50"/>
  <c r="J225" i="49" s="1"/>
  <c r="M87" i="50"/>
  <c r="K225" i="49" s="1"/>
  <c r="H88" i="50"/>
  <c r="F226" i="49" s="1"/>
  <c r="I88" i="50"/>
  <c r="G226" i="49" s="1"/>
  <c r="J88" i="50"/>
  <c r="H226" i="49" s="1"/>
  <c r="K88" i="50"/>
  <c r="I226" i="49" s="1"/>
  <c r="L88" i="50"/>
  <c r="J226" i="49" s="1"/>
  <c r="M88" i="50"/>
  <c r="K226" i="49" s="1"/>
  <c r="H89" i="50"/>
  <c r="F227" i="49" s="1"/>
  <c r="I89" i="50"/>
  <c r="G227" i="49" s="1"/>
  <c r="J89" i="50"/>
  <c r="H227" i="49" s="1"/>
  <c r="K89" i="50"/>
  <c r="I227" i="49" s="1"/>
  <c r="L89" i="50"/>
  <c r="J227" i="49" s="1"/>
  <c r="M89" i="50"/>
  <c r="K227" i="49" s="1"/>
  <c r="H90" i="50"/>
  <c r="F228" i="49" s="1"/>
  <c r="I90" i="50"/>
  <c r="G228" i="49" s="1"/>
  <c r="J90" i="50"/>
  <c r="H228" i="49" s="1"/>
  <c r="K90" i="50"/>
  <c r="I228" i="49" s="1"/>
  <c r="L90" i="50"/>
  <c r="J228" i="49" s="1"/>
  <c r="M90" i="50"/>
  <c r="K228" i="49" s="1"/>
  <c r="H91" i="50"/>
  <c r="F229" i="49" s="1"/>
  <c r="I91" i="50"/>
  <c r="G229" i="49" s="1"/>
  <c r="J91" i="50"/>
  <c r="H229" i="49" s="1"/>
  <c r="K91" i="50"/>
  <c r="I229" i="49" s="1"/>
  <c r="L91" i="50"/>
  <c r="J229" i="49" s="1"/>
  <c r="M91" i="50"/>
  <c r="K229" i="49" s="1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C179" i="49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C186" i="49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F235" i="49" s="1"/>
  <c r="I97" i="50"/>
  <c r="G235" i="49" s="1"/>
  <c r="J97" i="50"/>
  <c r="H235" i="49" s="1"/>
  <c r="K97" i="50"/>
  <c r="I235" i="49" s="1"/>
  <c r="L97" i="50"/>
  <c r="J235" i="49" s="1"/>
  <c r="M97" i="50"/>
  <c r="K235" i="49" s="1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H92" i="50"/>
  <c r="I92" i="50"/>
  <c r="J92" i="50"/>
  <c r="K92" i="50"/>
  <c r="L92" i="50"/>
  <c r="M92" i="50"/>
  <c r="H93" i="50"/>
  <c r="I93" i="50"/>
  <c r="J93" i="50"/>
  <c r="K93" i="50"/>
  <c r="L93" i="50"/>
  <c r="M93" i="50"/>
  <c r="P239" i="49"/>
  <c r="C147" i="49"/>
  <c r="E49" i="143" l="1"/>
  <c r="L9" i="50" l="1"/>
  <c r="L10" i="50"/>
  <c r="J148" i="49" s="1"/>
  <c r="M9" i="50"/>
  <c r="M10" i="50"/>
  <c r="K148" i="49" s="1"/>
  <c r="K9" i="50"/>
  <c r="K10" i="50"/>
  <c r="I148" i="49" s="1"/>
  <c r="J9" i="50"/>
  <c r="J10" i="50"/>
  <c r="H148" i="49" s="1"/>
  <c r="I9" i="50"/>
  <c r="I10" i="50"/>
  <c r="G148" i="49" s="1"/>
  <c r="H9" i="50"/>
  <c r="H10" i="50"/>
  <c r="F148" i="49" s="1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6" i="89" l="1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D118" i="78"/>
  <c r="C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7" i="78"/>
  <c r="C116" i="78"/>
  <c r="C115" i="78"/>
  <c r="D116" i="78"/>
  <c r="C114" i="78"/>
  <c r="C117" i="78"/>
  <c r="D115" i="78"/>
  <c r="C119" i="78"/>
  <c r="D119" i="78"/>
  <c r="D114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6" i="49"/>
  <c r="Q113" i="49"/>
  <c r="Q105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83" i="78"/>
  <c r="D9" i="78"/>
  <c r="C11" i="78"/>
  <c r="C93" i="78"/>
  <c r="C20" i="78"/>
  <c r="C94" i="78"/>
  <c r="G8" i="78"/>
  <c r="D16" i="78"/>
  <c r="C88" i="78"/>
  <c r="D10" i="78"/>
  <c r="D21" i="78"/>
  <c r="C97" i="78"/>
  <c r="D11" i="78"/>
  <c r="C91" i="78"/>
  <c r="D17" i="78"/>
  <c r="C92" i="78"/>
  <c r="C18" i="78"/>
  <c r="D15" i="78"/>
  <c r="C82" i="78"/>
  <c r="C15" i="78"/>
  <c r="D19" i="78"/>
  <c r="G12" i="78"/>
  <c r="G11" i="78"/>
  <c r="C17" i="78"/>
  <c r="C95" i="78"/>
  <c r="D12" i="78"/>
  <c r="C89" i="78"/>
  <c r="C81" i="78"/>
  <c r="C90" i="78"/>
  <c r="G10" i="78"/>
  <c r="C80" i="78"/>
  <c r="D13" i="78"/>
  <c r="C19" i="78"/>
  <c r="G9" i="78"/>
  <c r="G14" i="78"/>
  <c r="D18" i="78"/>
  <c r="C84" i="78"/>
  <c r="C14" i="78"/>
  <c r="C87" i="78"/>
  <c r="C16" i="78"/>
  <c r="C79" i="78"/>
  <c r="G13" i="78"/>
  <c r="D14" i="78"/>
  <c r="C12" i="78"/>
  <c r="C13" i="78"/>
  <c r="D20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09" i="85"/>
  <c r="C159" i="85"/>
  <c r="C132" i="85"/>
  <c r="C154" i="85"/>
  <c r="C152" i="85"/>
  <c r="C57" i="85"/>
  <c r="C3" i="85"/>
  <c r="C18" i="85"/>
  <c r="C148" i="85"/>
  <c r="C153" i="85"/>
  <c r="C98" i="85"/>
  <c r="C8" i="85"/>
  <c r="C19" i="85"/>
  <c r="C146" i="85"/>
  <c r="C90" i="85"/>
  <c r="C140" i="85"/>
  <c r="C119" i="85"/>
  <c r="C112" i="85"/>
  <c r="C110" i="85"/>
  <c r="C21" i="85"/>
  <c r="C87" i="85"/>
  <c r="C13" i="85"/>
  <c r="C165" i="85"/>
  <c r="C160" i="85"/>
  <c r="C164" i="85"/>
  <c r="C25" i="85"/>
  <c r="C17" i="85"/>
  <c r="C106" i="85"/>
  <c r="C23" i="85"/>
  <c r="C127" i="85"/>
  <c r="C155" i="85"/>
  <c r="C5" i="85"/>
  <c r="C60" i="85"/>
  <c r="C107" i="85"/>
  <c r="C16" i="85"/>
  <c r="C71" i="85"/>
  <c r="C139" i="85"/>
  <c r="C113" i="85"/>
  <c r="C20" i="85"/>
  <c r="C142" i="85"/>
  <c r="C144" i="85"/>
  <c r="C102" i="85"/>
  <c r="C77" i="85"/>
  <c r="C26" i="85"/>
  <c r="C156" i="85"/>
  <c r="C45" i="85"/>
  <c r="C147" i="85"/>
  <c r="C123" i="85"/>
  <c r="C95" i="85"/>
  <c r="C162" i="85"/>
  <c r="C32" i="85"/>
  <c r="C15" i="85"/>
  <c r="C100" i="85"/>
  <c r="C9" i="85"/>
  <c r="C37" i="85"/>
  <c r="C133" i="85"/>
  <c r="C117" i="85"/>
  <c r="C38" i="85"/>
  <c r="C125" i="85"/>
  <c r="C150" i="85"/>
  <c r="C163" i="85"/>
  <c r="C129" i="85"/>
  <c r="C7" i="85"/>
  <c r="C121" i="85"/>
  <c r="C141" i="85"/>
  <c r="C73" i="85"/>
  <c r="C46" i="85"/>
  <c r="C151" i="85"/>
  <c r="C115" i="85"/>
  <c r="C138" i="85"/>
  <c r="C104" i="85"/>
  <c r="C108" i="85"/>
  <c r="C101" i="85"/>
  <c r="C97" i="85"/>
  <c r="C99" i="85"/>
  <c r="C103" i="85"/>
  <c r="C157" i="85"/>
  <c r="C143" i="85"/>
  <c r="C39" i="85"/>
  <c r="C167" i="85"/>
  <c r="C14" i="85"/>
  <c r="C111" i="85"/>
  <c r="C114" i="85"/>
  <c r="C24" i="85"/>
  <c r="C6" i="85"/>
  <c r="C36" i="85"/>
  <c r="C130" i="85"/>
  <c r="C105" i="85"/>
  <c r="C12" i="85"/>
  <c r="C158" i="85"/>
  <c r="C137" i="85"/>
  <c r="C10" i="85"/>
  <c r="C44" i="85"/>
  <c r="C4" i="85"/>
  <c r="C134" i="85"/>
  <c r="C149" i="85"/>
  <c r="C161" i="85"/>
  <c r="C131" i="85"/>
  <c r="C96" i="85"/>
  <c r="C145" i="85"/>
  <c r="C166" i="85"/>
  <c r="C11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2" i="85"/>
  <c r="C70" i="85"/>
  <c r="C88" i="85"/>
  <c r="C135" i="85"/>
  <c r="C22" i="85"/>
  <c r="C136" i="85"/>
  <c r="C31" i="85"/>
  <c r="F31" i="58" l="1"/>
  <c r="F30" i="58"/>
  <c r="F32" i="58"/>
  <c r="F29" i="58"/>
  <c r="F28" i="58"/>
  <c r="H28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U60" i="50" s="1"/>
  <c r="H13" i="25"/>
  <c r="G74" i="78"/>
  <c r="S74" i="78"/>
  <c r="E74" i="78"/>
  <c r="C72" i="85"/>
  <c r="H74" i="78"/>
  <c r="K74" i="78"/>
  <c r="D74" i="78"/>
  <c r="P74" i="78"/>
  <c r="T74" i="78"/>
  <c r="N74" i="78"/>
  <c r="F74" i="78"/>
  <c r="U74" i="78"/>
  <c r="J74" i="78"/>
  <c r="L74" i="78"/>
  <c r="C30" i="85"/>
  <c r="O74" i="78"/>
  <c r="Q74" i="78"/>
  <c r="I74" i="78"/>
  <c r="M74" i="78"/>
  <c r="R74" i="78"/>
  <c r="U59" i="50" l="1"/>
  <c r="D48" i="50" s="1"/>
  <c r="U58" i="50"/>
  <c r="D47" i="50" s="1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E73" i="78"/>
  <c r="N73" i="78"/>
  <c r="S73" i="78"/>
  <c r="D73" i="78"/>
  <c r="F73" i="78"/>
  <c r="L73" i="78"/>
  <c r="O73" i="78"/>
  <c r="M73" i="78"/>
  <c r="R73" i="78"/>
  <c r="K73" i="78"/>
  <c r="T73" i="78"/>
  <c r="U73" i="78"/>
  <c r="G73" i="78"/>
  <c r="Q73" i="78"/>
  <c r="H73" i="78"/>
  <c r="J73" i="78"/>
  <c r="I73" i="78"/>
  <c r="P73" i="78"/>
  <c r="AN195" i="89" l="1"/>
  <c r="Q185" i="49"/>
  <c r="P185" i="49" s="1"/>
  <c r="Q186" i="49"/>
  <c r="P186" i="49" s="1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M72" i="78"/>
  <c r="J72" i="78"/>
  <c r="O72" i="78"/>
  <c r="K72" i="78"/>
  <c r="U72" i="78"/>
  <c r="D72" i="78"/>
  <c r="N72" i="78"/>
  <c r="S72" i="78"/>
  <c r="P72" i="78"/>
  <c r="Q72" i="78"/>
  <c r="I72" i="78"/>
  <c r="E72" i="78"/>
  <c r="G72" i="78"/>
  <c r="T72" i="78"/>
  <c r="H72" i="78"/>
  <c r="F72" i="78"/>
  <c r="R72" i="78"/>
  <c r="L72" i="78"/>
  <c r="AO196" i="89" l="1"/>
  <c r="AU272" i="89"/>
  <c r="C74" i="64"/>
  <c r="C73" i="64"/>
  <c r="AU271" i="89"/>
  <c r="AO195" i="89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J71" i="78"/>
  <c r="O71" i="78"/>
  <c r="K71" i="78"/>
  <c r="L71" i="78"/>
  <c r="E71" i="78"/>
  <c r="M71" i="78"/>
  <c r="C55" i="85"/>
  <c r="F71" i="78"/>
  <c r="T71" i="78"/>
  <c r="G71" i="78"/>
  <c r="N71" i="78"/>
  <c r="D71" i="78"/>
  <c r="H71" i="78"/>
  <c r="U71" i="78"/>
  <c r="Q71" i="78"/>
  <c r="P71" i="78"/>
  <c r="I71" i="78"/>
  <c r="R71" i="78"/>
  <c r="S71" i="78"/>
  <c r="L17" i="58" l="1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M70" i="78"/>
  <c r="L70" i="78"/>
  <c r="T70" i="78"/>
  <c r="G70" i="78"/>
  <c r="J70" i="78"/>
  <c r="F70" i="78"/>
  <c r="S70" i="78"/>
  <c r="D70" i="78"/>
  <c r="U70" i="78"/>
  <c r="N70" i="78"/>
  <c r="P70" i="78"/>
  <c r="O70" i="78"/>
  <c r="I70" i="78"/>
  <c r="R70" i="78"/>
  <c r="E70" i="78"/>
  <c r="Q70" i="78"/>
  <c r="H70" i="78"/>
  <c r="K70" i="78"/>
  <c r="C11" i="58" l="1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U69" i="78"/>
  <c r="K69" i="78"/>
  <c r="Q69" i="78"/>
  <c r="R69" i="78"/>
  <c r="J69" i="78"/>
  <c r="H69" i="78"/>
  <c r="P69" i="78"/>
  <c r="F69" i="78"/>
  <c r="M69" i="78"/>
  <c r="E69" i="78"/>
  <c r="N69" i="78"/>
  <c r="I69" i="78"/>
  <c r="O69" i="78"/>
  <c r="G69" i="78"/>
  <c r="D69" i="78"/>
  <c r="S69" i="78"/>
  <c r="T69" i="78"/>
  <c r="L69" i="78"/>
  <c r="E100" i="50" l="1"/>
  <c r="E92" i="50"/>
  <c r="E44" i="50"/>
  <c r="E36" i="50"/>
  <c r="E28" i="50"/>
  <c r="E64" i="50"/>
  <c r="E32" i="50"/>
  <c r="E95" i="50"/>
  <c r="E63" i="50"/>
  <c r="E39" i="50"/>
  <c r="E37" i="50"/>
  <c r="E99" i="50"/>
  <c r="E51" i="50"/>
  <c r="E43" i="50"/>
  <c r="E35" i="50"/>
  <c r="E27" i="50"/>
  <c r="E47" i="50"/>
  <c r="E45" i="50"/>
  <c r="E98" i="50"/>
  <c r="E50" i="50"/>
  <c r="E42" i="50"/>
  <c r="E26" i="50"/>
  <c r="E97" i="50"/>
  <c r="E65" i="50"/>
  <c r="E57" i="50"/>
  <c r="E49" i="50"/>
  <c r="E17" i="50"/>
  <c r="E96" i="50"/>
  <c r="E48" i="50"/>
  <c r="E71" i="50"/>
  <c r="E94" i="50"/>
  <c r="E46" i="50"/>
  <c r="E38" i="50"/>
  <c r="E93" i="50"/>
  <c r="E30" i="50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S68" i="78"/>
  <c r="G68" i="78"/>
  <c r="P68" i="78"/>
  <c r="F68" i="78"/>
  <c r="H68" i="78"/>
  <c r="E68" i="78"/>
  <c r="I68" i="78"/>
  <c r="R68" i="78"/>
  <c r="O68" i="78"/>
  <c r="L68" i="78"/>
  <c r="Q68" i="78"/>
  <c r="N68" i="78"/>
  <c r="D68" i="78"/>
  <c r="U68" i="78"/>
  <c r="K68" i="78"/>
  <c r="J68" i="78"/>
  <c r="T68" i="78"/>
  <c r="M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I67" i="78"/>
  <c r="F67" i="78"/>
  <c r="S67" i="78"/>
  <c r="K67" i="78"/>
  <c r="P67" i="78"/>
  <c r="G67" i="78"/>
  <c r="R67" i="78"/>
  <c r="Q67" i="78"/>
  <c r="L67" i="78"/>
  <c r="U67" i="78"/>
  <c r="H67" i="78"/>
  <c r="M67" i="78"/>
  <c r="D67" i="78"/>
  <c r="J67" i="78"/>
  <c r="E67" i="78"/>
  <c r="O67" i="78"/>
  <c r="T67" i="78"/>
  <c r="N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K66" i="78"/>
  <c r="S66" i="78"/>
  <c r="E66" i="78"/>
  <c r="I66" i="78"/>
  <c r="D66" i="78"/>
  <c r="L66" i="78"/>
  <c r="M66" i="78"/>
  <c r="F66" i="78"/>
  <c r="Q66" i="78"/>
  <c r="O66" i="78"/>
  <c r="T66" i="78"/>
  <c r="G66" i="78"/>
  <c r="N66" i="78"/>
  <c r="P66" i="78"/>
  <c r="U66" i="78"/>
  <c r="J66" i="78"/>
  <c r="H66" i="78"/>
  <c r="R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U65" i="78"/>
  <c r="K65" i="78"/>
  <c r="F65" i="78"/>
  <c r="I65" i="78"/>
  <c r="Q65" i="78"/>
  <c r="E65" i="78"/>
  <c r="R65" i="78"/>
  <c r="H65" i="78"/>
  <c r="L65" i="78"/>
  <c r="S65" i="78"/>
  <c r="J65" i="78"/>
  <c r="O65" i="78"/>
  <c r="M65" i="78"/>
  <c r="N65" i="78"/>
  <c r="T65" i="78"/>
  <c r="P65" i="78"/>
  <c r="G65" i="78"/>
  <c r="D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T64" i="78"/>
  <c r="H64" i="78"/>
  <c r="G64" i="78"/>
  <c r="F64" i="78"/>
  <c r="J64" i="78"/>
  <c r="M64" i="78"/>
  <c r="D64" i="78"/>
  <c r="S64" i="78"/>
  <c r="E64" i="78"/>
  <c r="L64" i="78"/>
  <c r="K64" i="78"/>
  <c r="N64" i="78"/>
  <c r="Q64" i="78"/>
  <c r="O64" i="78"/>
  <c r="P64" i="78"/>
  <c r="I64" i="78"/>
  <c r="R64" i="78"/>
  <c r="U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D63" i="78"/>
  <c r="N63" i="78"/>
  <c r="T63" i="78"/>
  <c r="E63" i="78"/>
  <c r="O63" i="78"/>
  <c r="P63" i="78"/>
  <c r="M63" i="78"/>
  <c r="H63" i="78"/>
  <c r="F63" i="78"/>
  <c r="L63" i="78"/>
  <c r="I63" i="78"/>
  <c r="J63" i="78"/>
  <c r="S63" i="78"/>
  <c r="U63" i="78"/>
  <c r="K63" i="78"/>
  <c r="Q63" i="78"/>
  <c r="R63" i="78"/>
  <c r="G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O35" i="25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N25" i="25"/>
  <c r="N49" i="25" s="1"/>
  <c r="I15" i="135" s="1"/>
  <c r="D25" i="25"/>
  <c r="D49" i="25" s="1"/>
  <c r="D9" i="50" s="1"/>
  <c r="D40" i="50" s="1"/>
  <c r="H25" i="25"/>
  <c r="H49" i="25" s="1"/>
  <c r="D29" i="50" s="1"/>
  <c r="AN179" i="89" l="1"/>
  <c r="AU255" i="89" s="1"/>
  <c r="E31" i="50"/>
  <c r="Q178" i="49"/>
  <c r="P178" i="49" s="1"/>
  <c r="E40" i="50"/>
  <c r="AN177" i="89"/>
  <c r="C55" i="64" s="1"/>
  <c r="E29" i="50"/>
  <c r="E9" i="50"/>
  <c r="V58" i="50"/>
  <c r="W58" i="50" s="1"/>
  <c r="C57" i="64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F39" i="143" l="1"/>
  <c r="E18" i="50"/>
  <c r="F16" i="143"/>
  <c r="E19" i="50"/>
  <c r="AN170" i="89"/>
  <c r="AO170" i="89" s="1"/>
  <c r="E23" i="50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AU246" i="89" l="1"/>
  <c r="F15" i="143"/>
  <c r="E16" i="50"/>
  <c r="C48" i="64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K41" i="58" s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D18" i="137" l="1"/>
  <c r="E18" i="137" s="1"/>
  <c r="D33" i="50" s="1"/>
  <c r="E33" i="50" s="1"/>
  <c r="F23" i="143" l="1"/>
  <c r="Q171" i="49"/>
  <c r="P171" i="49" s="1"/>
  <c r="AO179" i="89" l="1"/>
  <c r="D19" i="137"/>
  <c r="E19" i="137" s="1"/>
  <c r="D34" i="50" s="1"/>
  <c r="E34" i="50" s="1"/>
  <c r="AU258" i="89" l="1"/>
  <c r="AN181" i="89"/>
  <c r="AO182" i="89"/>
  <c r="C60" i="64"/>
  <c r="Q172" i="49"/>
  <c r="P172" i="49" s="1"/>
  <c r="F7" i="123"/>
  <c r="Q11" i="58"/>
  <c r="Q13" i="58" s="1"/>
  <c r="N13" i="58"/>
  <c r="Q37" i="49" s="1"/>
  <c r="P37" i="49" s="1"/>
  <c r="C59" i="64" l="1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8" i="49"/>
  <c r="P38" i="49" s="1"/>
  <c r="Q94" i="49"/>
  <c r="P94" i="49" s="1"/>
  <c r="N19" i="58"/>
  <c r="L19" i="58" s="1"/>
  <c r="S15" i="58"/>
  <c r="Q16" i="58"/>
  <c r="R16" i="58" s="1"/>
  <c r="R17" i="58" s="1"/>
  <c r="Q18" i="58" s="1"/>
  <c r="Q34" i="49" l="1"/>
  <c r="P34" i="49" s="1"/>
  <c r="L18" i="58"/>
  <c r="N7" i="123"/>
  <c r="N11" i="123" s="1"/>
  <c r="G11" i="123"/>
  <c r="BQ313" i="89"/>
  <c r="M11" i="123"/>
  <c r="D12" i="58"/>
  <c r="Q17" i="58"/>
  <c r="Q35" i="49"/>
  <c r="P35" i="49" s="1"/>
  <c r="D13" i="58"/>
  <c r="Q95" i="49"/>
  <c r="P95" i="49" s="1"/>
  <c r="C13" i="58" l="1"/>
  <c r="C12" i="58"/>
  <c r="L35" i="58"/>
  <c r="Q146" i="49" s="1"/>
  <c r="P146" i="49" s="1"/>
  <c r="BG293" i="89"/>
  <c r="BG297" i="89" s="1"/>
  <c r="BQ317" i="89"/>
  <c r="BR317" i="89" s="1"/>
  <c r="BS317" i="89" s="1"/>
  <c r="Q129" i="49"/>
  <c r="P129" i="49" s="1"/>
  <c r="BR313" i="89"/>
  <c r="D9" i="58"/>
  <c r="T125" i="89"/>
  <c r="C9" i="58" l="1"/>
  <c r="C5" i="58" s="1"/>
  <c r="C15" i="58" s="1"/>
  <c r="Q135" i="49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D59" i="50"/>
  <c r="E59" i="50" s="1"/>
  <c r="D58" i="50"/>
  <c r="E58" i="50" s="1"/>
  <c r="D67" i="50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E66" i="50" s="1"/>
  <c r="D72" i="50"/>
  <c r="E72" i="50" s="1"/>
  <c r="D83" i="50"/>
  <c r="E83" i="50" s="1"/>
  <c r="D78" i="50"/>
  <c r="D85" i="50"/>
  <c r="E85" i="50" s="1"/>
  <c r="D80" i="50"/>
  <c r="D84" i="50"/>
  <c r="E84" i="50" s="1"/>
  <c r="D79" i="50"/>
  <c r="D82" i="50"/>
  <c r="E82" i="50" s="1"/>
  <c r="D77" i="50"/>
  <c r="D11" i="50"/>
  <c r="E11" i="50" s="1"/>
  <c r="D88" i="50"/>
  <c r="D13" i="50"/>
  <c r="D90" i="50"/>
  <c r="E90" i="50" s="1"/>
  <c r="D12" i="50"/>
  <c r="D89" i="50"/>
  <c r="E89" i="50" s="1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AN202" i="89" l="1"/>
  <c r="C80" i="64" s="1"/>
  <c r="Q215" i="49"/>
  <c r="P215" i="49" s="1"/>
  <c r="E77" i="50"/>
  <c r="D41" i="50"/>
  <c r="E41" i="50" s="1"/>
  <c r="E10" i="50"/>
  <c r="Q217" i="49"/>
  <c r="P217" i="49" s="1"/>
  <c r="E79" i="50"/>
  <c r="Q219" i="49"/>
  <c r="P219" i="49" s="1"/>
  <c r="E81" i="50"/>
  <c r="Q218" i="49"/>
  <c r="P218" i="49" s="1"/>
  <c r="E80" i="50"/>
  <c r="Q151" i="49"/>
  <c r="P151" i="49" s="1"/>
  <c r="E13" i="50"/>
  <c r="Q150" i="49"/>
  <c r="P150" i="49" s="1"/>
  <c r="E12" i="50"/>
  <c r="Q226" i="49"/>
  <c r="P226" i="49" s="1"/>
  <c r="E88" i="50"/>
  <c r="Q216" i="49"/>
  <c r="P216" i="49" s="1"/>
  <c r="E78" i="50"/>
  <c r="Q205" i="49"/>
  <c r="P205" i="49" s="1"/>
  <c r="E67" i="50"/>
  <c r="AN199" i="89"/>
  <c r="AU275" i="89" s="1"/>
  <c r="V59" i="50"/>
  <c r="V60" i="50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F57" i="143" l="1"/>
  <c r="AO202" i="89"/>
  <c r="AU278" i="89"/>
  <c r="AW278" i="89" s="1"/>
  <c r="AY278" i="89" s="1"/>
  <c r="Q179" i="49"/>
  <c r="P179" i="49" s="1"/>
  <c r="AN188" i="89"/>
  <c r="C66" i="64" s="1"/>
  <c r="D66" i="64" s="1"/>
  <c r="E66" i="64" s="1"/>
  <c r="D7" i="50"/>
  <c r="D5" i="50" s="1"/>
  <c r="W59" i="50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M60" i="58"/>
  <c r="AN208" i="89" l="1"/>
  <c r="AO188" i="89"/>
  <c r="AU264" i="89"/>
  <c r="AW264" i="89" s="1"/>
  <c r="AY264" i="89" s="1"/>
  <c r="E23" i="58"/>
  <c r="F23" i="58" s="1"/>
  <c r="Q43" i="49" s="1"/>
  <c r="P43" i="49" s="1"/>
  <c r="C44" i="64"/>
  <c r="D44" i="64" s="1"/>
  <c r="D45" i="64"/>
  <c r="E45" i="64" s="1"/>
  <c r="AW243" i="89"/>
  <c r="AA144" i="89"/>
  <c r="AC141" i="89"/>
  <c r="AC144" i="89" s="1"/>
  <c r="AD141" i="89"/>
  <c r="L13" i="51"/>
  <c r="L14" i="51" s="1"/>
  <c r="C6" i="51" s="1"/>
  <c r="Q45" i="49"/>
  <c r="P45" i="49" s="1"/>
  <c r="AU284" i="89" l="1"/>
  <c r="AW284" i="89"/>
  <c r="L12" i="89" s="1"/>
  <c r="E24" i="58"/>
  <c r="D14" i="58" s="1"/>
  <c r="Q40" i="49" s="1"/>
  <c r="P40" i="49" s="1"/>
  <c r="F24" i="58"/>
  <c r="L73" i="39" s="1"/>
  <c r="AY243" i="89"/>
  <c r="C13" i="51"/>
  <c r="O7" i="51"/>
  <c r="D17" i="64"/>
  <c r="E11" i="143" s="1"/>
  <c r="AB144" i="89"/>
  <c r="M73" i="39" l="1"/>
  <c r="D33" i="64"/>
  <c r="AU231" i="89" s="1"/>
  <c r="E34" i="143"/>
  <c r="E52" i="143"/>
  <c r="E32" i="143"/>
  <c r="E33" i="143"/>
  <c r="E44" i="143"/>
  <c r="D15" i="58"/>
  <c r="Q88" i="49" s="1"/>
  <c r="P88" i="49" s="1"/>
  <c r="AY267" i="89"/>
  <c r="Q200" i="49"/>
  <c r="P200" i="49" s="1"/>
  <c r="Q152" i="49"/>
  <c r="P152" i="49" s="1"/>
  <c r="F26" i="143"/>
  <c r="Q194" i="49"/>
  <c r="P194" i="49" s="1"/>
  <c r="Q13" i="49"/>
  <c r="P13" i="49" s="1"/>
  <c r="N103" i="89"/>
  <c r="E17" i="64"/>
  <c r="F17" i="64"/>
  <c r="H42" i="39" s="1"/>
  <c r="AU222" i="89"/>
  <c r="D14" i="64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F44" i="143" l="1"/>
  <c r="F32" i="143"/>
  <c r="O9" i="51"/>
  <c r="O11" i="51" s="1"/>
  <c r="F34" i="143"/>
  <c r="F33" i="64"/>
  <c r="AE16" i="89"/>
  <c r="E33" i="64"/>
  <c r="L10" i="89" s="1"/>
  <c r="D34" i="64"/>
  <c r="E34" i="64" s="1"/>
  <c r="Q39" i="49"/>
  <c r="P39" i="49" s="1"/>
  <c r="E60" i="143" s="1"/>
  <c r="F33" i="143"/>
  <c r="F52" i="143"/>
  <c r="Q103" i="49"/>
  <c r="P103" i="49" s="1"/>
  <c r="AO192" i="89"/>
  <c r="AY265" i="89"/>
  <c r="AO190" i="89"/>
  <c r="G49" i="143"/>
  <c r="G54" i="143" s="1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C5" i="64" l="1"/>
  <c r="E57" i="143" s="1"/>
  <c r="F34" i="64"/>
  <c r="Q89" i="49"/>
  <c r="P89" i="49" s="1"/>
  <c r="G26" i="143"/>
  <c r="U9" i="89"/>
  <c r="AV230" i="89"/>
  <c r="AW219" i="89"/>
  <c r="AY222" i="89"/>
  <c r="AW230" i="89"/>
  <c r="AY231" i="89"/>
  <c r="AU237" i="89"/>
  <c r="AV219" i="89"/>
  <c r="AU238" i="89"/>
  <c r="U11" i="89"/>
  <c r="C7" i="64" l="1"/>
  <c r="H1" i="137" s="1"/>
  <c r="Q93" i="49"/>
  <c r="P93" i="49" s="1"/>
  <c r="C52" i="89"/>
  <c r="C54" i="89" s="1"/>
  <c r="AX219" i="89"/>
  <c r="AX225" i="89"/>
  <c r="AW240" i="89"/>
  <c r="AX238" i="89"/>
  <c r="AV238" i="89"/>
  <c r="AW238" i="89"/>
  <c r="AY230" i="89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H1" i="82" l="1"/>
  <c r="G1" i="142"/>
  <c r="F1" i="71"/>
  <c r="I1" i="51"/>
  <c r="Q6" i="49"/>
  <c r="P6" i="49" s="1"/>
  <c r="H1" i="78"/>
  <c r="K1" i="50"/>
  <c r="H1" i="25"/>
  <c r="H1" i="61"/>
  <c r="G1" i="58"/>
  <c r="H1" i="87"/>
  <c r="T11" i="89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Q157" i="49" l="1"/>
  <c r="P157" i="49" s="1"/>
  <c r="F60" i="143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581" i="85"/>
  <c r="C1769" i="85"/>
  <c r="C1487" i="85"/>
  <c r="C1763" i="85"/>
  <c r="C1581" i="85"/>
  <c r="C1044" i="85"/>
  <c r="C737" i="85"/>
  <c r="C186" i="85"/>
  <c r="C774" i="85"/>
  <c r="C1997" i="85"/>
  <c r="C1467" i="85"/>
  <c r="C472" i="85"/>
  <c r="C1418" i="85"/>
  <c r="C344" i="85"/>
  <c r="C873" i="85"/>
  <c r="C1194" i="85"/>
  <c r="C1244" i="85"/>
  <c r="C1922" i="85"/>
  <c r="C211" i="85"/>
  <c r="C539" i="85"/>
  <c r="C668" i="85"/>
  <c r="C288" i="85"/>
  <c r="C1214" i="85"/>
  <c r="C1203" i="85"/>
  <c r="C865" i="85"/>
  <c r="C1182" i="85"/>
  <c r="C1153" i="85"/>
  <c r="C1903" i="85"/>
  <c r="C1027" i="85"/>
  <c r="C1067" i="85"/>
  <c r="C1783" i="85"/>
  <c r="C1164" i="85"/>
  <c r="C616" i="85"/>
  <c r="C1256" i="85"/>
  <c r="C1299" i="85"/>
  <c r="C84" i="85"/>
  <c r="C1041" i="85"/>
  <c r="C1290" i="85"/>
  <c r="C1159" i="85"/>
  <c r="C756" i="85"/>
  <c r="C1900" i="85"/>
  <c r="C709" i="85"/>
  <c r="C464" i="85"/>
  <c r="C1751" i="85"/>
  <c r="C1347" i="85"/>
  <c r="C1624" i="85"/>
  <c r="C439" i="85"/>
  <c r="C168" i="85"/>
  <c r="C459" i="85"/>
  <c r="C887" i="85"/>
  <c r="C64" i="85"/>
  <c r="C839" i="85"/>
  <c r="C951" i="85"/>
  <c r="C1304" i="85"/>
  <c r="C1630" i="85"/>
  <c r="C43" i="85"/>
  <c r="C1683" i="85"/>
  <c r="C575" i="85"/>
  <c r="C1260" i="85"/>
  <c r="C1008" i="85"/>
  <c r="C1060" i="85"/>
  <c r="C1455" i="85"/>
  <c r="C1627" i="85"/>
  <c r="C672" i="85"/>
  <c r="C232" i="85"/>
  <c r="C732" i="85"/>
  <c r="C1864" i="85"/>
  <c r="C1713" i="85"/>
  <c r="C956" i="85"/>
  <c r="C536" i="85"/>
  <c r="C852" i="85"/>
  <c r="C901" i="85"/>
  <c r="C1388" i="85"/>
  <c r="C1273" i="85"/>
  <c r="C607" i="85"/>
  <c r="C1752" i="85"/>
  <c r="C1639" i="85"/>
  <c r="C1022" i="85"/>
  <c r="C355" i="85"/>
  <c r="C998" i="85"/>
  <c r="C553" i="85"/>
  <c r="C727" i="85"/>
  <c r="C871" i="85"/>
  <c r="C1826" i="85"/>
  <c r="C809" i="85"/>
  <c r="C442" i="85"/>
  <c r="C1526" i="85"/>
  <c r="C376" i="85"/>
  <c r="C833" i="85"/>
  <c r="C1939" i="85"/>
  <c r="C926" i="85"/>
  <c r="C424" i="85"/>
  <c r="C1588" i="85"/>
  <c r="C1559" i="85"/>
  <c r="C1217" i="85"/>
  <c r="C1564" i="85"/>
  <c r="C1767" i="85"/>
  <c r="C1643" i="85"/>
  <c r="C1267" i="85"/>
  <c r="C445" i="85"/>
  <c r="C617" i="85"/>
  <c r="C978" i="85"/>
  <c r="C545" i="85"/>
  <c r="C1178" i="85"/>
  <c r="C787" i="85"/>
  <c r="C1580" i="85"/>
  <c r="C558" i="85"/>
  <c r="C286" i="85"/>
  <c r="C618" i="85"/>
  <c r="C1258" i="85"/>
  <c r="C619" i="85"/>
  <c r="C1185" i="85"/>
  <c r="C1979" i="85"/>
  <c r="C622" i="85"/>
  <c r="C1912" i="85"/>
  <c r="C933" i="85"/>
  <c r="C413" i="85"/>
  <c r="C1599" i="85"/>
  <c r="C1710" i="85"/>
  <c r="C1578" i="85"/>
  <c r="C928" i="85"/>
  <c r="C1723" i="85"/>
  <c r="C253" i="85"/>
  <c r="C1322" i="85"/>
  <c r="C1650" i="85"/>
  <c r="C1885" i="85"/>
  <c r="C1550" i="85"/>
  <c r="C462" i="85"/>
  <c r="C470" i="85"/>
  <c r="C1247" i="85"/>
  <c r="C1139" i="85"/>
  <c r="C276" i="85"/>
  <c r="C312" i="85"/>
  <c r="C1357" i="85"/>
  <c r="C1243" i="85"/>
  <c r="C47" i="85"/>
  <c r="C118" i="85"/>
  <c r="C984" i="85"/>
  <c r="C409" i="85"/>
  <c r="C499" i="85"/>
  <c r="C829" i="85"/>
  <c r="C1889" i="85"/>
  <c r="C781" i="85"/>
  <c r="C488" i="85"/>
  <c r="C1030" i="85"/>
  <c r="C961" i="85"/>
  <c r="C1319" i="85"/>
  <c r="C612" i="85"/>
  <c r="C719" i="85"/>
  <c r="C1224" i="85"/>
  <c r="C1089" i="85"/>
  <c r="C1485" i="85"/>
  <c r="C1313" i="85"/>
  <c r="C202" i="85"/>
  <c r="C746" i="85"/>
  <c r="C1970" i="85"/>
  <c r="C1272" i="85"/>
  <c r="C1129" i="85"/>
  <c r="C1961" i="85"/>
  <c r="C1454" i="85"/>
  <c r="C785" i="85"/>
  <c r="C213" i="85"/>
  <c r="C1910" i="85"/>
  <c r="C1330" i="85"/>
  <c r="C478" i="85"/>
  <c r="C1725" i="85"/>
  <c r="C516" i="85"/>
  <c r="C1726" i="85"/>
  <c r="C1641" i="85"/>
  <c r="C1980" i="85"/>
  <c r="C1879" i="85"/>
  <c r="C1108" i="85"/>
  <c r="C371" i="85"/>
  <c r="C423" i="85"/>
  <c r="C335" i="85"/>
  <c r="C1141" i="85"/>
  <c r="C1781" i="85"/>
  <c r="C1582" i="85"/>
  <c r="C870" i="85"/>
  <c r="C856" i="85"/>
  <c r="C298" i="85"/>
  <c r="C241" i="85"/>
  <c r="C1821" i="85"/>
  <c r="C1385" i="85"/>
  <c r="C1392" i="85"/>
  <c r="C573" i="85"/>
  <c r="C1671" i="85"/>
  <c r="C91" i="85"/>
  <c r="C1197" i="85"/>
  <c r="C460" i="85"/>
  <c r="C261" i="85"/>
  <c r="C1170" i="85"/>
  <c r="C1493" i="85"/>
  <c r="C736" i="85"/>
  <c r="C872" i="85"/>
  <c r="C188" i="85"/>
  <c r="C1936" i="85"/>
  <c r="C1181" i="85"/>
  <c r="C1301" i="85"/>
  <c r="C366" i="85"/>
  <c r="C1691" i="85"/>
  <c r="C1168" i="85"/>
  <c r="C653" i="85"/>
  <c r="C195" i="85"/>
  <c r="C1823" i="85"/>
  <c r="C765" i="85"/>
  <c r="C1126" i="85"/>
  <c r="C176" i="85"/>
  <c r="C987" i="85"/>
  <c r="C321" i="85"/>
  <c r="C816" i="85"/>
  <c r="C247" i="85"/>
  <c r="C803" i="85"/>
  <c r="C1223" i="85"/>
  <c r="C390" i="85"/>
  <c r="C752" i="85"/>
  <c r="C1901" i="85"/>
  <c r="C743" i="85"/>
  <c r="C664" i="85"/>
  <c r="C268" i="85"/>
  <c r="C498" i="85"/>
  <c r="C507" i="85"/>
  <c r="C1798" i="85"/>
  <c r="C230" i="85"/>
  <c r="C331" i="85"/>
  <c r="C1573" i="85"/>
  <c r="C1384" i="85"/>
  <c r="C910" i="85"/>
  <c r="C948" i="85"/>
  <c r="C1612" i="85"/>
  <c r="C1084" i="85"/>
  <c r="C796" i="85"/>
  <c r="C1875" i="85"/>
  <c r="C1652" i="85"/>
  <c r="C275" i="85"/>
  <c r="C1741" i="85"/>
  <c r="C252" i="85"/>
  <c r="C603" i="85"/>
  <c r="C795" i="85"/>
  <c r="C548" i="85"/>
  <c r="C1494" i="85"/>
  <c r="C1082" i="85"/>
  <c r="C244" i="85"/>
  <c r="C1346" i="85"/>
  <c r="C1262" i="85"/>
  <c r="C41" i="85"/>
  <c r="C1508" i="85"/>
  <c r="C1931" i="85"/>
  <c r="C1782" i="85"/>
  <c r="C1963" i="85"/>
  <c r="C1754" i="85"/>
  <c r="C1103" i="85"/>
  <c r="C124" i="85"/>
  <c r="C700" i="85"/>
  <c r="C1024" i="85"/>
  <c r="C1883" i="85"/>
  <c r="C734" i="85"/>
  <c r="C630" i="85"/>
  <c r="C1477" i="85"/>
  <c r="C1300" i="85"/>
  <c r="C1693" i="85"/>
  <c r="C850" i="85"/>
  <c r="C1742" i="85"/>
  <c r="C65" i="85"/>
  <c r="C287" i="85"/>
  <c r="C291" i="85"/>
  <c r="C1112" i="85"/>
  <c r="C698" i="85"/>
  <c r="C943" i="85"/>
  <c r="C1797" i="85"/>
  <c r="C1890" i="85"/>
  <c r="C301" i="85"/>
  <c r="C986" i="85"/>
  <c r="C554" i="85"/>
  <c r="C1376" i="85"/>
  <c r="C744" i="85"/>
  <c r="C1406" i="85"/>
  <c r="C1862" i="85"/>
  <c r="C1202" i="85"/>
  <c r="C1700" i="85"/>
  <c r="C1020" i="85"/>
  <c r="C320" i="85"/>
  <c r="C869" i="85"/>
  <c r="C1259" i="85"/>
  <c r="C1966" i="85"/>
  <c r="C855" i="85"/>
  <c r="C1344" i="85"/>
  <c r="C1790" i="85"/>
  <c r="C1597" i="85"/>
  <c r="C122" i="85"/>
  <c r="C750" i="85"/>
  <c r="C2000" i="85"/>
  <c r="C569" i="85"/>
  <c r="C201" i="85"/>
  <c r="C686" i="85"/>
  <c r="C1977" i="85"/>
  <c r="C1839" i="85"/>
  <c r="C374" i="85"/>
  <c r="C1808" i="85"/>
  <c r="C1204" i="85"/>
  <c r="C1579" i="85"/>
  <c r="C180" i="85"/>
  <c r="C458" i="85"/>
  <c r="C1066" i="85"/>
  <c r="C1828" i="85"/>
  <c r="C761" i="85"/>
  <c r="C963" i="85"/>
  <c r="C1432" i="85"/>
  <c r="C1514" i="85"/>
  <c r="C1638" i="85"/>
  <c r="C635" i="85"/>
  <c r="C1662" i="85"/>
  <c r="C876" i="85"/>
  <c r="C33" i="85"/>
  <c r="C982" i="85"/>
  <c r="C1368" i="85"/>
  <c r="C1251" i="85"/>
  <c r="C358" i="85"/>
  <c r="C194" i="85"/>
  <c r="C1489" i="85"/>
  <c r="C643" i="85"/>
  <c r="C415" i="85"/>
  <c r="C1277" i="85"/>
  <c r="C681" i="85"/>
  <c r="C843" i="85"/>
  <c r="C1114" i="85"/>
  <c r="C1557" i="85"/>
  <c r="C1323" i="85"/>
  <c r="C443" i="85"/>
  <c r="C381" i="85"/>
  <c r="C1608" i="85"/>
  <c r="C314" i="85"/>
  <c r="C776" i="85"/>
  <c r="C790" i="85"/>
  <c r="C815" i="85"/>
  <c r="C819" i="85"/>
  <c r="C578" i="85"/>
  <c r="C742" i="85"/>
  <c r="C466" i="85"/>
  <c r="C1287" i="85"/>
  <c r="C1805" i="85"/>
  <c r="C1063" i="85"/>
  <c r="C1199" i="85"/>
  <c r="C523" i="85"/>
  <c r="C1206" i="85"/>
  <c r="C392" i="85"/>
  <c r="C116" i="85"/>
  <c r="C283" i="85"/>
  <c r="C1211" i="85"/>
  <c r="C676" i="85"/>
  <c r="C670" i="85"/>
  <c r="C1147" i="85"/>
  <c r="C891" i="85"/>
  <c r="C1165" i="85"/>
  <c r="C469" i="85"/>
  <c r="C1992" i="85"/>
  <c r="C1886" i="85"/>
  <c r="C1193" i="85"/>
  <c r="C1806" i="85"/>
  <c r="C510" i="85"/>
  <c r="C351" i="85"/>
  <c r="C557" i="85"/>
  <c r="C666" i="85"/>
  <c r="C669" i="85"/>
  <c r="C449" i="85"/>
  <c r="C1800" i="85"/>
  <c r="C1722" i="85"/>
  <c r="C768" i="85"/>
  <c r="C1358" i="85"/>
  <c r="C1037" i="85"/>
  <c r="C68" i="85"/>
  <c r="C827" i="85"/>
  <c r="C436" i="85"/>
  <c r="C1397" i="85"/>
  <c r="C1986" i="85"/>
  <c r="C1640" i="85"/>
  <c r="C350" i="85"/>
  <c r="C1143" i="85"/>
  <c r="C1568" i="85"/>
  <c r="C651" i="85"/>
  <c r="C1558" i="85"/>
  <c r="C1481" i="85"/>
  <c r="C411" i="85"/>
  <c r="C1478" i="85"/>
  <c r="C503" i="85"/>
  <c r="C256" i="85"/>
  <c r="C343" i="85"/>
  <c r="C588" i="85"/>
  <c r="C606" i="85"/>
  <c r="C500" i="85"/>
  <c r="C220" i="85"/>
  <c r="C1252" i="85"/>
  <c r="C1336" i="85"/>
  <c r="C759" i="85"/>
  <c r="C1731" i="85"/>
  <c r="C1212" i="85"/>
  <c r="C74" i="85"/>
  <c r="C1584" i="85"/>
  <c r="C326" i="85"/>
  <c r="C1778" i="85"/>
  <c r="C215" i="85"/>
  <c r="C289" i="85"/>
  <c r="C981" i="85"/>
  <c r="C324" i="85"/>
  <c r="C235" i="85"/>
  <c r="C1505" i="85"/>
  <c r="C1602" i="85"/>
  <c r="C1647" i="85"/>
  <c r="C582" i="85"/>
  <c r="C515" i="85"/>
  <c r="C254" i="85"/>
  <c r="C1245" i="85"/>
  <c r="C1919" i="85"/>
  <c r="C477" i="85"/>
  <c r="C75" i="85"/>
  <c r="C1600" i="85"/>
  <c r="C292" i="85"/>
  <c r="C527" i="85"/>
  <c r="C1412" i="85"/>
  <c r="C1034" i="85"/>
  <c r="C271" i="85"/>
  <c r="C29" i="85"/>
  <c r="C1553" i="85"/>
  <c r="C1032" i="85"/>
  <c r="C473" i="85"/>
  <c r="C1957" i="85"/>
  <c r="C1190" i="85"/>
  <c r="C1861" i="85"/>
  <c r="C1307" i="85"/>
  <c r="C1661" i="85"/>
  <c r="C788" i="85"/>
  <c r="C1756" i="85"/>
  <c r="C1281" i="85"/>
  <c r="C1786" i="85"/>
  <c r="C602" i="85"/>
  <c r="C546" i="85"/>
  <c r="C1727" i="85"/>
  <c r="C250" i="85"/>
  <c r="C1587" i="85"/>
  <c r="C811" i="85"/>
  <c r="C1315" i="85"/>
  <c r="C463" i="85"/>
  <c r="C1410" i="85"/>
  <c r="C722" i="85"/>
  <c r="C592" i="85"/>
  <c r="C1261" i="85"/>
  <c r="C1653" i="85"/>
  <c r="C193" i="85"/>
  <c r="C836" i="85"/>
  <c r="C198" i="85"/>
  <c r="C1949" i="85"/>
  <c r="C1755" i="85"/>
  <c r="C1527" i="85"/>
  <c r="C1327" i="85"/>
  <c r="C1285" i="85"/>
  <c r="C1438" i="85"/>
  <c r="C1503" i="85"/>
  <c r="C899" i="85"/>
  <c r="C897" i="85"/>
  <c r="C1560" i="85"/>
  <c r="C329" i="85"/>
  <c r="C1403" i="85"/>
  <c r="C1887" i="85"/>
  <c r="C749" i="85"/>
  <c r="C1928" i="85"/>
  <c r="C1504" i="85"/>
  <c r="C779" i="85"/>
  <c r="C387" i="85"/>
  <c r="C1995" i="85"/>
  <c r="C173" i="85"/>
  <c r="C586" i="85"/>
  <c r="C308" i="85"/>
  <c r="C1434" i="85"/>
  <c r="C1140" i="85"/>
  <c r="C1298" i="85"/>
  <c r="C1810" i="85"/>
  <c r="C847" i="85"/>
  <c r="C1771" i="85"/>
  <c r="C1318" i="85"/>
  <c r="C1729" i="85"/>
  <c r="C1776" i="85"/>
  <c r="C1528" i="85"/>
  <c r="C1028" i="85"/>
  <c r="C1969" i="85"/>
  <c r="C1036" i="85"/>
  <c r="C1329" i="85"/>
  <c r="C1547" i="85"/>
  <c r="C420" i="85"/>
  <c r="C69" i="85"/>
  <c r="C1933" i="85"/>
  <c r="C370" i="85"/>
  <c r="C921" i="85"/>
  <c r="C1585" i="85"/>
  <c r="C1257" i="85"/>
  <c r="C305" i="85"/>
  <c r="C717" i="85"/>
  <c r="C1468" i="85"/>
  <c r="C1876" i="85"/>
  <c r="C1137" i="85"/>
  <c r="C1075" i="85"/>
  <c r="C1492" i="85"/>
  <c r="C1849" i="85"/>
  <c r="C1496" i="85"/>
  <c r="C577" i="85"/>
  <c r="C53" i="85"/>
  <c r="C1390" i="85"/>
  <c r="C1288" i="85"/>
  <c r="C555" i="85"/>
  <c r="C939" i="85"/>
  <c r="C1565" i="85"/>
  <c r="C728" i="85"/>
  <c r="C1234" i="85"/>
  <c r="C1753" i="85"/>
  <c r="C920" i="85"/>
  <c r="C1177" i="85"/>
  <c r="C513" i="85"/>
  <c r="C566" i="85"/>
  <c r="C644" i="85"/>
  <c r="C48" i="85"/>
  <c r="C641" i="85"/>
  <c r="C1601" i="85"/>
  <c r="C1135" i="85"/>
  <c r="C216" i="85"/>
  <c r="C718" i="85"/>
  <c r="C911" i="85"/>
  <c r="C877" i="85"/>
  <c r="C1813" i="85"/>
  <c r="C1593" i="85"/>
  <c r="C1356" i="85"/>
  <c r="C259" i="85"/>
  <c r="C1381" i="85"/>
  <c r="C969" i="85"/>
  <c r="C1255" i="85"/>
  <c r="C1155" i="85"/>
  <c r="C1895" i="85"/>
  <c r="C1130" i="85"/>
  <c r="C1430" i="85"/>
  <c r="C858" i="85"/>
  <c r="C777" i="85"/>
  <c r="C1720" i="85"/>
  <c r="C675" i="85"/>
  <c r="C1809" i="85"/>
  <c r="C299" i="85"/>
  <c r="C226" i="85"/>
  <c r="C1105" i="85"/>
  <c r="C576" i="85"/>
  <c r="C703" i="85"/>
  <c r="C771" i="85"/>
  <c r="C1039" i="85"/>
  <c r="C1945" i="85"/>
  <c r="C1456" i="85"/>
  <c r="C1219" i="85"/>
  <c r="C1899" i="85"/>
  <c r="C437" i="85"/>
  <c r="C369" i="85"/>
  <c r="C1927" i="85"/>
  <c r="C654" i="85"/>
  <c r="C353" i="85"/>
  <c r="C841" i="85"/>
  <c r="C435" i="85"/>
  <c r="C1237" i="85"/>
  <c r="C330" i="85"/>
  <c r="C604" i="85"/>
  <c r="C274" i="85"/>
  <c r="C1512" i="85"/>
  <c r="C1014" i="85"/>
  <c r="C1408" i="85"/>
  <c r="C1657" i="85"/>
  <c r="C763" i="85"/>
  <c r="C309" i="85"/>
  <c r="C1109" i="85"/>
  <c r="C1548" i="85"/>
  <c r="C341" i="85"/>
  <c r="C1443" i="85"/>
  <c r="C1366" i="85"/>
  <c r="C360" i="85"/>
  <c r="C1704" i="85"/>
  <c r="C613" i="85"/>
  <c r="C735" i="85"/>
  <c r="C584" i="85"/>
  <c r="C1156" i="85"/>
  <c r="C772" i="85"/>
  <c r="C1239" i="85"/>
  <c r="C1667" i="85"/>
  <c r="C227" i="85"/>
  <c r="C1006" i="85"/>
  <c r="C403" i="85"/>
  <c r="C1646" i="85"/>
  <c r="C346" i="85"/>
  <c r="C262" i="85"/>
  <c r="C801" i="85"/>
  <c r="C905" i="85"/>
  <c r="C1081" i="85"/>
  <c r="C1705" i="85"/>
  <c r="C1706" i="85"/>
  <c r="C913" i="85"/>
  <c r="C1998" i="85"/>
  <c r="C925" i="85"/>
  <c r="C1869" i="85"/>
  <c r="C1799" i="85"/>
  <c r="C1001" i="85"/>
  <c r="C889" i="85"/>
  <c r="C1724" i="85"/>
  <c r="C522" i="85"/>
  <c r="C580" i="85"/>
  <c r="C1757" i="85"/>
  <c r="C1349" i="85"/>
  <c r="C1607" i="85"/>
  <c r="C395" i="85"/>
  <c r="C317" i="85"/>
  <c r="C1480" i="85"/>
  <c r="C93" i="85"/>
  <c r="C62" i="85"/>
  <c r="C1825" i="85"/>
  <c r="C1484" i="85"/>
  <c r="C902" i="85"/>
  <c r="C1852" i="85"/>
  <c r="C1278" i="85"/>
  <c r="C429" i="85"/>
  <c r="C1728" i="85"/>
  <c r="C1055" i="85"/>
  <c r="C1332" i="85"/>
  <c r="C1335" i="85"/>
  <c r="C930" i="85"/>
  <c r="C549" i="85"/>
  <c r="C996" i="85"/>
  <c r="C1134" i="85"/>
  <c r="C903" i="85"/>
  <c r="C1788" i="85"/>
  <c r="C1953" i="85"/>
  <c r="C1264" i="85"/>
  <c r="C1814" i="85"/>
  <c r="C1838" i="85"/>
  <c r="C658" i="85"/>
  <c r="C1352" i="85"/>
  <c r="C726" i="85"/>
  <c r="C636" i="85"/>
  <c r="C1766" i="85"/>
  <c r="C1249" i="85"/>
  <c r="C417" i="85"/>
  <c r="C1369" i="85"/>
  <c r="C1367" i="85"/>
  <c r="C647" i="85"/>
  <c r="C660" i="85"/>
  <c r="C177" i="85"/>
  <c r="C1031" i="85"/>
  <c r="C1429" i="85"/>
  <c r="C786" i="85"/>
  <c r="C1297" i="85"/>
  <c r="C1764" i="85"/>
  <c r="C1648" i="85"/>
  <c r="C923" i="85"/>
  <c r="C228" i="85"/>
  <c r="C486" i="85"/>
  <c r="C481" i="85"/>
  <c r="C716" i="85"/>
  <c r="C1145" i="85"/>
  <c r="C1339" i="85"/>
  <c r="C1569" i="85"/>
  <c r="C1457" i="85"/>
  <c r="C1670" i="85"/>
  <c r="C1131" i="85"/>
  <c r="C1532" i="85"/>
  <c r="C1111" i="85"/>
  <c r="C848" i="85"/>
  <c r="C1132" i="85"/>
  <c r="C398" i="85"/>
  <c r="C1702" i="85"/>
  <c r="C997" i="85"/>
  <c r="C1860" i="85"/>
  <c r="C1436" i="85"/>
  <c r="C1533" i="85"/>
  <c r="C652" i="85"/>
  <c r="C485" i="85"/>
  <c r="C1269" i="85"/>
  <c r="C825" i="85"/>
  <c r="C1401" i="85"/>
  <c r="C992" i="85"/>
  <c r="C393" i="85"/>
  <c r="C257" i="85"/>
  <c r="C1831" i="85"/>
  <c r="C1610" i="85"/>
  <c r="C646" i="85"/>
  <c r="C1925" i="85"/>
  <c r="C567" i="85"/>
  <c r="C1011" i="85"/>
  <c r="C1404" i="85"/>
  <c r="C526" i="85"/>
  <c r="C311" i="85"/>
  <c r="C659" i="85"/>
  <c r="C621" i="85"/>
  <c r="C1076" i="85"/>
  <c r="C452" i="85"/>
  <c r="C1623" i="85"/>
  <c r="C233" i="85"/>
  <c r="C447" i="85"/>
  <c r="C964" i="85"/>
  <c r="C1431" i="85"/>
  <c r="C1848" i="85"/>
  <c r="C1577" i="85"/>
  <c r="C1816" i="85"/>
  <c r="C1866" i="85"/>
  <c r="C820" i="85"/>
  <c r="C524" i="85"/>
  <c r="C1737" i="85"/>
  <c r="C562" i="85"/>
  <c r="C192" i="85"/>
  <c r="C590" i="85"/>
  <c r="C1509" i="85"/>
  <c r="C1827" i="85"/>
  <c r="C1892" i="85"/>
  <c r="C1570" i="85"/>
  <c r="C1045" i="85"/>
  <c r="C938" i="85"/>
  <c r="C611" i="85"/>
  <c r="C1829" i="85"/>
  <c r="C1750" i="85"/>
  <c r="C245" i="85"/>
  <c r="C952" i="85"/>
  <c r="C1043" i="85"/>
  <c r="C1051" i="85"/>
  <c r="C1735" i="85"/>
  <c r="C404" i="85"/>
  <c r="C947" i="85"/>
  <c r="C859" i="85"/>
  <c r="C1950" i="85"/>
  <c r="C783" i="85"/>
  <c r="C1787" i="85"/>
  <c r="C1088" i="85"/>
  <c r="C853" i="85"/>
  <c r="C1458" i="85"/>
  <c r="C280" i="85"/>
  <c r="C1694" i="85"/>
  <c r="C1837" i="85"/>
  <c r="C1847" i="85"/>
  <c r="C1427" i="85"/>
  <c r="C1296" i="85"/>
  <c r="C1896" i="85"/>
  <c r="C1836" i="85"/>
  <c r="C1987" i="85"/>
  <c r="C1603" i="85"/>
  <c r="C497" i="85"/>
  <c r="C1561" i="85"/>
  <c r="C1891" i="85"/>
  <c r="C332" i="85"/>
  <c r="C1284" i="85"/>
  <c r="C934" i="85"/>
  <c r="C1383" i="85"/>
  <c r="C1541" i="85"/>
  <c r="C1420" i="85"/>
  <c r="C1416" i="85"/>
  <c r="C494" i="85"/>
  <c r="C1183" i="85"/>
  <c r="C909" i="85"/>
  <c r="C1574" i="85"/>
  <c r="C78" i="85"/>
  <c r="C27" i="85"/>
  <c r="C1422" i="85"/>
  <c r="C1253" i="85"/>
  <c r="C1087" i="85"/>
  <c r="C1499" i="85"/>
  <c r="C1364" i="85"/>
  <c r="C900" i="85"/>
  <c r="C1094" i="85"/>
  <c r="C1853" i="85"/>
  <c r="C1238" i="85"/>
  <c r="C1342" i="85"/>
  <c r="C454" i="85"/>
  <c r="C479" i="85"/>
  <c r="C1758" i="85"/>
  <c r="C1425" i="85"/>
  <c r="C1372" i="85"/>
  <c r="C598" i="85"/>
  <c r="C1854" i="85"/>
  <c r="C1711" i="85"/>
  <c r="C1990" i="85"/>
  <c r="C1469" i="85"/>
  <c r="C209" i="85"/>
  <c r="C1850" i="85"/>
  <c r="C1227" i="85"/>
  <c r="C797" i="85"/>
  <c r="C1801" i="85"/>
  <c r="C410" i="85"/>
  <c r="C1865" i="85"/>
  <c r="C784" i="85"/>
  <c r="C962" i="85"/>
  <c r="C1967" i="85"/>
  <c r="C300" i="85"/>
  <c r="C175" i="85"/>
  <c r="C657" i="85"/>
  <c r="C325" i="85"/>
  <c r="C427" i="85"/>
  <c r="C337" i="85"/>
  <c r="C1152" i="85"/>
  <c r="C1898" i="85"/>
  <c r="C1119" i="85"/>
  <c r="C655" i="85"/>
  <c r="C1091" i="85"/>
  <c r="C535" i="85"/>
  <c r="C922" i="85"/>
  <c r="C1218" i="85"/>
  <c r="C706" i="85"/>
  <c r="C1943" i="85"/>
  <c r="C1311" i="85"/>
  <c r="C640" i="85"/>
  <c r="C713" i="85"/>
  <c r="C1101" i="85"/>
  <c r="C491" i="85"/>
  <c r="C631" i="85"/>
  <c r="C663" i="85"/>
  <c r="C1236" i="85"/>
  <c r="C682" i="85"/>
  <c r="C1772" i="85"/>
  <c r="C1909" i="85"/>
  <c r="C1930" i="85"/>
  <c r="C1996" i="85"/>
  <c r="C1095" i="85"/>
  <c r="C708" i="85"/>
  <c r="C1444" i="85"/>
  <c r="C1960" i="85"/>
  <c r="C1538" i="85"/>
  <c r="C574" i="85"/>
  <c r="C1530" i="85"/>
  <c r="C231" i="85"/>
  <c r="C1275" i="85"/>
  <c r="C189" i="85"/>
  <c r="C1017" i="85"/>
  <c r="C794" i="85"/>
  <c r="C1654" i="85"/>
  <c r="C511" i="85"/>
  <c r="C821" i="85"/>
  <c r="C225" i="85"/>
  <c r="C1012" i="85"/>
  <c r="C591" i="85"/>
  <c r="C223" i="85"/>
  <c r="C766" i="85"/>
  <c r="C721" i="85"/>
  <c r="C1626" i="85"/>
  <c r="C1466" i="85"/>
  <c r="C35" i="85"/>
  <c r="C1618" i="85"/>
  <c r="C1631" i="85"/>
  <c r="C959" i="85"/>
  <c r="C1354" i="85"/>
  <c r="C386" i="85"/>
  <c r="C407" i="85"/>
  <c r="C600" i="85"/>
  <c r="C608" i="85"/>
  <c r="C285" i="85"/>
  <c r="C306" i="85"/>
  <c r="C884" i="85"/>
  <c r="C364" i="85"/>
  <c r="C864" i="85"/>
  <c r="C738" i="85"/>
  <c r="C1516" i="85"/>
  <c r="C1523" i="85"/>
  <c r="C1937" i="85"/>
  <c r="C1072" i="85"/>
  <c r="C1359" i="85"/>
  <c r="C711" i="85"/>
  <c r="C361" i="85"/>
  <c r="C1739" i="85"/>
  <c r="C1715" i="85"/>
  <c r="C1677" i="85"/>
  <c r="C695" i="85"/>
  <c r="C1835" i="85"/>
  <c r="C273" i="85"/>
  <c r="C1442" i="85"/>
  <c r="C1274" i="85"/>
  <c r="C1534" i="85"/>
  <c r="C898" i="85"/>
  <c r="C1881" i="85"/>
  <c r="C1207" i="85"/>
  <c r="C354" i="85"/>
  <c r="C1316" i="85"/>
  <c r="C263" i="85"/>
  <c r="C1972" i="85"/>
  <c r="C857" i="85"/>
  <c r="C1196" i="85"/>
  <c r="C1539" i="85"/>
  <c r="C935" i="85"/>
  <c r="C1302" i="85"/>
  <c r="C1294" i="85"/>
  <c r="C467" i="85"/>
  <c r="C1231" i="85"/>
  <c r="C1399" i="85"/>
  <c r="C251" i="85"/>
  <c r="C1023" i="85"/>
  <c r="C895" i="85"/>
  <c r="C1100" i="85"/>
  <c r="C1544" i="85"/>
  <c r="C731" i="85"/>
  <c r="C1241" i="85"/>
  <c r="C1644" i="85"/>
  <c r="C1461" i="85"/>
  <c r="C1840" i="85"/>
  <c r="C1761" i="85"/>
  <c r="C1695" i="85"/>
  <c r="C270" i="85"/>
  <c r="C421" i="85"/>
  <c r="C224" i="85"/>
  <c r="C359" i="85"/>
  <c r="C1451" i="85"/>
  <c r="C601" i="85"/>
  <c r="C753" i="85"/>
  <c r="C1622" i="85"/>
  <c r="C597" i="85"/>
  <c r="C1506" i="85"/>
  <c r="C593" i="85"/>
  <c r="C1096" i="85"/>
  <c r="C1934" i="85"/>
  <c r="C1815" i="85"/>
  <c r="C1734" i="85"/>
  <c r="C1220" i="85"/>
  <c r="C1555" i="85"/>
  <c r="C506" i="85"/>
  <c r="C1117" i="85"/>
  <c r="C1549" i="85"/>
  <c r="C594" i="85"/>
  <c r="C1811" i="85"/>
  <c r="C217" i="85"/>
  <c r="C1136" i="85"/>
  <c r="C782" i="85"/>
  <c r="C967" i="85"/>
  <c r="C715" i="85"/>
  <c r="C1491" i="85"/>
  <c r="C1872" i="85"/>
  <c r="C1128" i="85"/>
  <c r="C1845" i="85"/>
  <c r="C1229" i="85"/>
  <c r="C1613" i="85"/>
  <c r="C1824" i="85"/>
  <c r="C284" i="85"/>
  <c r="C1915" i="85"/>
  <c r="C679" i="85"/>
  <c r="C791" i="85"/>
  <c r="C218" i="85"/>
  <c r="C425" i="85"/>
  <c r="C52" i="85"/>
  <c r="C1718" i="85"/>
  <c r="C530" i="85"/>
  <c r="C54" i="85"/>
  <c r="C1721" i="85"/>
  <c r="C667" i="85"/>
  <c r="C327" i="85"/>
  <c r="C1749" i="85"/>
  <c r="C805" i="85"/>
  <c r="C927" i="85"/>
  <c r="C778" i="85"/>
  <c r="C1161" i="85"/>
  <c r="C234" i="85"/>
  <c r="C1122" i="85"/>
  <c r="C1209" i="85"/>
  <c r="C637" i="85"/>
  <c r="C34" i="85"/>
  <c r="C1673" i="85"/>
  <c r="C1007" i="85"/>
  <c r="C980" i="85"/>
  <c r="C838" i="85"/>
  <c r="C1360" i="85"/>
  <c r="C1099" i="85"/>
  <c r="C541" i="85"/>
  <c r="C977" i="85"/>
  <c r="C242" i="85"/>
  <c r="C1171" i="85"/>
  <c r="C747" i="85"/>
  <c r="C1535" i="85"/>
  <c r="C1595" i="85"/>
  <c r="C249" i="85"/>
  <c r="C770" i="85"/>
  <c r="C79" i="85"/>
  <c r="C1386" i="85"/>
  <c r="C1880" i="85"/>
  <c r="C1991" i="85"/>
  <c r="C67" i="85"/>
  <c r="C1791" i="85"/>
  <c r="C714" i="85"/>
  <c r="C1133" i="85"/>
  <c r="C629" i="85"/>
  <c r="C949" i="85"/>
  <c r="C1377" i="85"/>
  <c r="C1981" i="85"/>
  <c r="C422" i="85"/>
  <c r="C1474" i="85"/>
  <c r="C1515" i="85"/>
  <c r="C1525" i="85"/>
  <c r="C81" i="85"/>
  <c r="C295" i="85"/>
  <c r="C389" i="85"/>
  <c r="C1762" i="85"/>
  <c r="C649" i="85"/>
  <c r="C1817" i="85"/>
  <c r="C1542" i="85"/>
  <c r="C599" i="85"/>
  <c r="C394" i="85"/>
  <c r="C1163" i="85"/>
  <c r="C183" i="85"/>
  <c r="C1511" i="85"/>
  <c r="C1490" i="85"/>
  <c r="C1362" i="85"/>
  <c r="C1944" i="85"/>
  <c r="C1941" i="85"/>
  <c r="C490" i="85"/>
  <c r="C362" i="85"/>
  <c r="C1793" i="85"/>
  <c r="C1169" i="85"/>
  <c r="C264" i="85"/>
  <c r="C385" i="85"/>
  <c r="C1946" i="85"/>
  <c r="C1092" i="85"/>
  <c r="C265" i="85"/>
  <c r="C179" i="85"/>
  <c r="C802" i="85"/>
  <c r="C1172" i="85"/>
  <c r="C906" i="85"/>
  <c r="C214" i="85"/>
  <c r="C1479" i="85"/>
  <c r="C203" i="85"/>
  <c r="C1328" i="85"/>
  <c r="C1785" i="85"/>
  <c r="C917" i="85"/>
  <c r="C1616" i="85"/>
  <c r="C1719" i="85"/>
  <c r="C563" i="85"/>
  <c r="C1000" i="85"/>
  <c r="C1013" i="85"/>
  <c r="C1521" i="85"/>
  <c r="C1773" i="85"/>
  <c r="C1968" i="85"/>
  <c r="C1463" i="85"/>
  <c r="C1127" i="85"/>
  <c r="C693" i="85"/>
  <c r="C1598" i="85"/>
  <c r="C741" i="85"/>
  <c r="C1633" i="85"/>
  <c r="C480" i="85"/>
  <c r="C384" i="85"/>
  <c r="C1993" i="85"/>
  <c r="C197" i="85"/>
  <c r="C59" i="85"/>
  <c r="C1774" i="85"/>
  <c r="C1113" i="85"/>
  <c r="C633" i="85"/>
  <c r="C565" i="85"/>
  <c r="C248" i="85"/>
  <c r="C579" i="85"/>
  <c r="C1621" i="85"/>
  <c r="C1189" i="85"/>
  <c r="C1459" i="85"/>
  <c r="C789" i="85"/>
  <c r="C1920" i="85"/>
  <c r="C1952" i="85"/>
  <c r="C94" i="85"/>
  <c r="C639" i="85"/>
  <c r="C1059" i="85"/>
  <c r="C1495" i="85"/>
  <c r="C1371" i="85"/>
  <c r="C755" i="85"/>
  <c r="C1246" i="85"/>
  <c r="C1079" i="85"/>
  <c r="C1086" i="85"/>
  <c r="C1929" i="85"/>
  <c r="C968" i="85"/>
  <c r="C1687" i="85"/>
  <c r="C1688" i="85"/>
  <c r="C1812" i="85"/>
  <c r="C240" i="85"/>
  <c r="C561" i="85"/>
  <c r="C1056" i="85"/>
  <c r="C1337" i="85"/>
  <c r="C1414" i="85"/>
  <c r="C508" i="85"/>
  <c r="C347" i="85"/>
  <c r="C304" i="85"/>
  <c r="C501" i="85"/>
  <c r="C1497" i="85"/>
  <c r="C338" i="85"/>
  <c r="C1807" i="85"/>
  <c r="C1545" i="85"/>
  <c r="C456" i="85"/>
  <c r="C863" i="85"/>
  <c r="C1375" i="85"/>
  <c r="C1394" i="85"/>
  <c r="C883" i="85"/>
  <c r="C348" i="85"/>
  <c r="C272" i="85"/>
  <c r="C995" i="85"/>
  <c r="C699" i="85"/>
  <c r="C1873" i="85"/>
  <c r="C1305" i="85"/>
  <c r="C1073" i="85"/>
  <c r="C391" i="85"/>
  <c r="C1681" i="85"/>
  <c r="C767" i="85"/>
  <c r="C661" i="85"/>
  <c r="C983" i="85"/>
  <c r="C758" i="85"/>
  <c r="C1649" i="85"/>
  <c r="C1065" i="85"/>
  <c r="C174" i="85"/>
  <c r="C1435" i="85"/>
  <c r="C1270" i="85"/>
  <c r="C1195" i="85"/>
  <c r="C696" i="85"/>
  <c r="C1148" i="85"/>
  <c r="C866" i="85"/>
  <c r="C1173" i="85"/>
  <c r="C1242" i="85"/>
  <c r="C58" i="85"/>
  <c r="C210" i="85"/>
  <c r="C418" i="85"/>
  <c r="C200" i="85"/>
  <c r="C1971" i="85"/>
  <c r="C1959" i="85"/>
  <c r="C1158" i="85"/>
  <c r="C1976" i="85"/>
  <c r="C1370" i="85"/>
  <c r="C512" i="85"/>
  <c r="C799" i="85"/>
  <c r="C954" i="85"/>
  <c r="C740" i="85"/>
  <c r="C1938" i="85"/>
  <c r="C560" i="85"/>
  <c r="C428" i="85"/>
  <c r="C1396" i="85"/>
  <c r="C191" i="85"/>
  <c r="C684" i="85"/>
  <c r="C936" i="85"/>
  <c r="C1205" i="85"/>
  <c r="C1760" i="85"/>
  <c r="C1120" i="85"/>
  <c r="C1994" i="85"/>
  <c r="C1174" i="85"/>
  <c r="C707" i="85"/>
  <c r="C1908" i="85"/>
  <c r="C1851" i="85"/>
  <c r="C1116" i="85"/>
  <c r="C534" i="85"/>
  <c r="C1452" i="85"/>
  <c r="C1005" i="85"/>
  <c r="C990" i="85"/>
  <c r="C775" i="85"/>
  <c r="C971" i="85"/>
  <c r="C1974" i="85"/>
  <c r="C662" i="85"/>
  <c r="C1863" i="85"/>
  <c r="C50" i="85"/>
  <c r="C1571" i="85"/>
  <c r="C315" i="85"/>
  <c r="C1488" i="85"/>
  <c r="C1894" i="85"/>
  <c r="C170" i="85"/>
  <c r="C1794" i="85"/>
  <c r="C349" i="85"/>
  <c r="C396" i="85"/>
  <c r="C1906" i="85"/>
  <c r="C1589" i="85"/>
  <c r="C733" i="85"/>
  <c r="C1510" i="85"/>
  <c r="C1554" i="85"/>
  <c r="C1078" i="85"/>
  <c r="C1743" i="85"/>
  <c r="C279" i="85"/>
  <c r="C1537" i="85"/>
  <c r="C1552" i="85"/>
  <c r="C1144" i="85"/>
  <c r="C1104" i="85"/>
  <c r="C1698" i="85"/>
  <c r="C1464" i="85"/>
  <c r="C1350" i="85"/>
  <c r="C290" i="85"/>
  <c r="C828" i="85"/>
  <c r="C955" i="85"/>
  <c r="C1736" i="85"/>
  <c r="C1614" i="85"/>
  <c r="C126" i="85"/>
  <c r="C461" i="85"/>
  <c r="C1123" i="85"/>
  <c r="C1029" i="85"/>
  <c r="C762" i="85"/>
  <c r="C583" i="85"/>
  <c r="C798" i="85"/>
  <c r="C537" i="85"/>
  <c r="C1973" i="85"/>
  <c r="C1596" i="85"/>
  <c r="C196" i="85"/>
  <c r="C970" i="85"/>
  <c r="C800" i="85"/>
  <c r="C1077" i="85"/>
  <c r="C568" i="85"/>
  <c r="C1240" i="85"/>
  <c r="C1118" i="85"/>
  <c r="C1916" i="85"/>
  <c r="C1254" i="85"/>
  <c r="C1777" i="85"/>
  <c r="C492" i="85"/>
  <c r="C1473" i="85"/>
  <c r="C269" i="85"/>
  <c r="C908" i="85"/>
  <c r="C585" i="85"/>
  <c r="C914" i="85"/>
  <c r="C66" i="85"/>
  <c r="C1439" i="85"/>
  <c r="C559" i="85"/>
  <c r="C328" i="85"/>
  <c r="C1867" i="85"/>
  <c r="C383" i="85"/>
  <c r="C1632" i="85"/>
  <c r="C605" i="85"/>
  <c r="C628" i="85"/>
  <c r="C610" i="85"/>
  <c r="C1021" i="85"/>
  <c r="C965" i="85"/>
  <c r="C1334" i="85"/>
  <c r="C999" i="85"/>
  <c r="C1982" i="85"/>
  <c r="C1283" i="85"/>
  <c r="C830" i="85"/>
  <c r="C1398" i="85"/>
  <c r="C1016" i="85"/>
  <c r="C973" i="85"/>
  <c r="C725" i="85"/>
  <c r="C694" i="85"/>
  <c r="C1655" i="85"/>
  <c r="C1744" i="85"/>
  <c r="C468" i="85"/>
  <c r="C878" i="85"/>
  <c r="C1419" i="85"/>
  <c r="C1279" i="85"/>
  <c r="C1470" i="85"/>
  <c r="C495" i="85"/>
  <c r="C1846" i="85"/>
  <c r="C128" i="85"/>
  <c r="C493" i="85"/>
  <c r="C293" i="85"/>
  <c r="C1187" i="85"/>
  <c r="C1975" i="85"/>
  <c r="C302" i="85"/>
  <c r="C773" i="85"/>
  <c r="C1668" i="85"/>
  <c r="C1935" i="85"/>
  <c r="C1804" i="85"/>
  <c r="C1180" i="85"/>
  <c r="C1954" i="85"/>
  <c r="C1682" i="85"/>
  <c r="C1250" i="85"/>
  <c r="C615" i="85"/>
  <c r="C1175" i="85"/>
  <c r="C937" i="85"/>
  <c r="C614" i="85"/>
  <c r="C818" i="85"/>
  <c r="C339" i="85"/>
  <c r="C919" i="85"/>
  <c r="C1989" i="85"/>
  <c r="C1513" i="85"/>
  <c r="C367" i="85"/>
  <c r="C1951" i="85"/>
  <c r="C1637" i="85"/>
  <c r="C1669" i="85"/>
  <c r="C1102" i="85"/>
  <c r="C525" i="85"/>
  <c r="C1674" i="85"/>
  <c r="C1733" i="85"/>
  <c r="C1904" i="85"/>
  <c r="C974" i="85"/>
  <c r="C1500" i="85"/>
  <c r="C518" i="85"/>
  <c r="C221" i="85"/>
  <c r="C1046" i="85"/>
  <c r="C1604" i="85"/>
  <c r="C1026" i="85"/>
  <c r="C1233" i="85"/>
  <c r="C1556" i="85"/>
  <c r="C1389" i="85"/>
  <c r="C1015" i="85"/>
  <c r="C1166" i="85"/>
  <c r="C1518" i="85"/>
  <c r="C1310" i="85"/>
  <c r="C849" i="85"/>
  <c r="C514" i="85"/>
  <c r="C414" i="85"/>
  <c r="C307" i="85"/>
  <c r="C380" i="85"/>
  <c r="C1924" i="85"/>
  <c r="C692" i="85"/>
  <c r="C1192" i="85"/>
  <c r="C632" i="85"/>
  <c r="C440" i="85"/>
  <c r="C1877" i="85"/>
  <c r="C1070" i="85"/>
  <c r="C1324" i="85"/>
  <c r="C1230" i="85"/>
  <c r="C471" i="85"/>
  <c r="C1619" i="85"/>
  <c r="C929" i="85"/>
  <c r="C1609" i="85"/>
  <c r="C237" i="85"/>
  <c r="C1780" i="85"/>
  <c r="C1263" i="85"/>
  <c r="C1921" i="85"/>
  <c r="C886" i="85"/>
  <c r="C1050" i="85"/>
  <c r="C229" i="85"/>
  <c r="C277" i="85"/>
  <c r="C378" i="85"/>
  <c r="C1074" i="85"/>
  <c r="C1747" i="85"/>
  <c r="C875" i="85"/>
  <c r="C1712" i="85"/>
  <c r="C323" i="85"/>
  <c r="C626" i="85"/>
  <c r="C792" i="85"/>
  <c r="C1107" i="85"/>
  <c r="C723" i="85"/>
  <c r="C357" i="85"/>
  <c r="C912" i="85"/>
  <c r="C894" i="85"/>
  <c r="C764" i="85"/>
  <c r="C1312" i="85"/>
  <c r="C1069" i="85"/>
  <c r="C408" i="85"/>
  <c r="C476" i="85"/>
  <c r="C944" i="85"/>
  <c r="C609" i="85"/>
  <c r="C204" i="85"/>
  <c r="C650" i="85"/>
  <c r="C187" i="85"/>
  <c r="C419" i="85"/>
  <c r="C846" i="85"/>
  <c r="C551" i="85"/>
  <c r="C375" i="85"/>
  <c r="C1955" i="85"/>
  <c r="C1445" i="85"/>
  <c r="C1855" i="85"/>
  <c r="C904" i="85"/>
  <c r="C1717" i="85"/>
  <c r="C83" i="85"/>
  <c r="C1684" i="85"/>
  <c r="C1365" i="85"/>
  <c r="C1692" i="85"/>
  <c r="C1841" i="85"/>
  <c r="C589" i="85"/>
  <c r="C352" i="85"/>
  <c r="C665" i="85"/>
  <c r="C754" i="85"/>
  <c r="C51" i="85"/>
  <c r="C687" i="85"/>
  <c r="C710" i="85"/>
  <c r="C1222" i="85"/>
  <c r="C946" i="85"/>
  <c r="C867" i="85"/>
  <c r="C975" i="85"/>
  <c r="C1019" i="85"/>
  <c r="C538" i="85"/>
  <c r="C1913" i="85"/>
  <c r="C1745" i="85"/>
  <c r="C1054" i="85"/>
  <c r="C1520" i="85"/>
  <c r="C483" i="85"/>
  <c r="C441" i="85"/>
  <c r="C517" i="85"/>
  <c r="C85" i="85"/>
  <c r="C1052" i="85"/>
  <c r="C1446" i="85"/>
  <c r="C769" i="85"/>
  <c r="C940" i="85"/>
  <c r="C1958" i="85"/>
  <c r="C896" i="85"/>
  <c r="C673" i="85"/>
  <c r="C1097" i="85"/>
  <c r="C1167" i="85"/>
  <c r="C431" i="85"/>
  <c r="C475" i="85"/>
  <c r="C985" i="85"/>
  <c r="C1289" i="85"/>
  <c r="C1768" i="85"/>
  <c r="C677" i="85"/>
  <c r="C181" i="85"/>
  <c r="C966" i="85"/>
  <c r="C1402" i="85"/>
  <c r="C406" i="85"/>
  <c r="C834" i="85"/>
  <c r="C1248" i="85"/>
  <c r="C1740" i="85"/>
  <c r="C860" i="85"/>
  <c r="C1411" i="85"/>
  <c r="C1666" i="85"/>
  <c r="C1213" i="85"/>
  <c r="C1870" i="85"/>
  <c r="C532" i="85"/>
  <c r="C1543" i="85"/>
  <c r="C550" i="85"/>
  <c r="C918" i="85"/>
  <c r="C907" i="85"/>
  <c r="C1314" i="85"/>
  <c r="C1003" i="85"/>
  <c r="C627" i="85"/>
  <c r="C1907" i="85"/>
  <c r="C683" i="85"/>
  <c r="C571" i="85"/>
  <c r="C1984" i="85"/>
  <c r="C1592" i="85"/>
  <c r="C1947" i="85"/>
  <c r="C824" i="85"/>
  <c r="C1280" i="85"/>
  <c r="C1878" i="85"/>
  <c r="C817" i="85"/>
  <c r="C1062" i="85"/>
  <c r="C42" i="85"/>
  <c r="C1098" i="85"/>
  <c r="C1228" i="85"/>
  <c r="C1058" i="85"/>
  <c r="C1697" i="85"/>
  <c r="C1340" i="85"/>
  <c r="C1902" i="85"/>
  <c r="C712" i="85"/>
  <c r="C976" i="85"/>
  <c r="C678" i="85"/>
  <c r="C278" i="85"/>
  <c r="C1341" i="85"/>
  <c r="C169" i="85"/>
  <c r="C691" i="85"/>
  <c r="C880" i="85"/>
  <c r="C1911" i="85"/>
  <c r="C751" i="85"/>
  <c r="C185" i="85"/>
  <c r="C1040" i="85"/>
  <c r="C1591" i="85"/>
  <c r="C638" i="85"/>
  <c r="C1482" i="85"/>
  <c r="C1696" i="85"/>
  <c r="C86" i="85"/>
  <c r="C1914" i="85"/>
  <c r="C1216" i="85"/>
  <c r="C1162" i="85"/>
  <c r="C1417" i="85"/>
  <c r="C1770" i="85"/>
  <c r="C76" i="85"/>
  <c r="C40" i="85"/>
  <c r="C208" i="85"/>
  <c r="C1795" i="85"/>
  <c r="C1822" i="85"/>
  <c r="C1611" i="85"/>
  <c r="C282" i="85"/>
  <c r="C950" i="85"/>
  <c r="C1703" i="85"/>
  <c r="C1157" i="85"/>
  <c r="C924" i="85"/>
  <c r="C199" i="85"/>
  <c r="C533" i="85"/>
  <c r="C1042" i="85"/>
  <c r="C810" i="85"/>
  <c r="C1563" i="85"/>
  <c r="C1636" i="85"/>
  <c r="C340" i="85"/>
  <c r="C1225" i="85"/>
  <c r="C624" i="85"/>
  <c r="C868" i="85"/>
  <c r="C1387" i="85"/>
  <c r="C945" i="85"/>
  <c r="C1802" i="85"/>
  <c r="C1962" i="85"/>
  <c r="C888" i="85"/>
  <c r="C1405" i="85"/>
  <c r="C1320" i="85"/>
  <c r="C1759" i="85"/>
  <c r="C239" i="85"/>
  <c r="C1678" i="85"/>
  <c r="C1331" i="85"/>
  <c r="C835" i="85"/>
  <c r="C1361" i="85"/>
  <c r="C1645" i="85"/>
  <c r="C807" i="85"/>
  <c r="C1686" i="85"/>
  <c r="C704" i="85"/>
  <c r="C505" i="85"/>
  <c r="C1932" i="85"/>
  <c r="C1343" i="85"/>
  <c r="C793" i="85"/>
  <c r="C1517" i="85"/>
  <c r="C1882" i="85"/>
  <c r="C804" i="85"/>
  <c r="C972" i="85"/>
  <c r="C1421" i="85"/>
  <c r="C1675" i="85"/>
  <c r="C1606" i="85"/>
  <c r="C1546" i="85"/>
  <c r="C484" i="85"/>
  <c r="C402" i="85"/>
  <c r="C1353" i="85"/>
  <c r="C882" i="85"/>
  <c r="C1338" i="85"/>
  <c r="C1844" i="85"/>
  <c r="C1325" i="85"/>
  <c r="C334" i="85"/>
  <c r="C1701" i="85"/>
  <c r="C379" i="85"/>
  <c r="C885" i="85"/>
  <c r="C1462" i="85"/>
  <c r="C1049" i="85"/>
  <c r="C310" i="85"/>
  <c r="C61" i="85"/>
  <c r="C1293" i="85"/>
  <c r="C739" i="85"/>
  <c r="C313" i="85"/>
  <c r="C1923" i="85"/>
  <c r="C680" i="85"/>
  <c r="C433" i="85"/>
  <c r="C528" i="85"/>
  <c r="C521" i="85"/>
  <c r="C1393" i="85"/>
  <c r="C1501" i="85"/>
  <c r="C595" i="85"/>
  <c r="C255" i="85"/>
  <c r="C172" i="85"/>
  <c r="C685" i="85"/>
  <c r="C642" i="85"/>
  <c r="C178" i="85"/>
  <c r="C702" i="85"/>
  <c r="C1379" i="85"/>
  <c r="C1502" i="85"/>
  <c r="C318" i="85"/>
  <c r="C689" i="85"/>
  <c r="C49" i="85"/>
  <c r="C1620" i="85"/>
  <c r="C1842" i="85"/>
  <c r="C356" i="85"/>
  <c r="C1465" i="85"/>
  <c r="C729" i="85"/>
  <c r="C1617" i="85"/>
  <c r="C1407" i="85"/>
  <c r="C1689" i="85"/>
  <c r="C1345" i="85"/>
  <c r="C482" i="85"/>
  <c r="C296" i="85"/>
  <c r="C1004" i="85"/>
  <c r="C1834" i="85"/>
  <c r="C1326" i="85"/>
  <c r="C1522" i="85"/>
  <c r="C697" i="85"/>
  <c r="C1064" i="85"/>
  <c r="C1363" i="85"/>
  <c r="C1395" i="85"/>
  <c r="C831" i="85"/>
  <c r="C1424" i="85"/>
  <c r="C444" i="85"/>
  <c r="C182" i="85"/>
  <c r="C205" i="85"/>
  <c r="C1374" i="85"/>
  <c r="C993" i="85"/>
  <c r="C1680" i="85"/>
  <c r="C1635" i="85"/>
  <c r="C1524" i="85"/>
  <c r="C932" i="85"/>
  <c r="C1348" i="85"/>
  <c r="C1978" i="85"/>
  <c r="C1286" i="85"/>
  <c r="C1226" i="85"/>
  <c r="C509" i="85"/>
  <c r="C1884" i="85"/>
  <c r="C455" i="85"/>
  <c r="C1874" i="85"/>
  <c r="C1820" i="85"/>
  <c r="C1708" i="85"/>
  <c r="C570" i="85"/>
  <c r="C1448" i="85"/>
  <c r="C941" i="85"/>
  <c r="C297" i="85"/>
  <c r="C1125" i="85"/>
  <c r="C837" i="85"/>
  <c r="C1586" i="85"/>
  <c r="C674" i="85"/>
  <c r="C1061" i="85"/>
  <c r="C1857" i="85"/>
  <c r="C363" i="85"/>
  <c r="C1529" i="85"/>
  <c r="C1179" i="85"/>
  <c r="C1291" i="85"/>
  <c r="C333" i="85"/>
  <c r="C1699" i="85"/>
  <c r="C1575" i="85"/>
  <c r="C844" i="85"/>
  <c r="C1068" i="85"/>
  <c r="C1449" i="85"/>
  <c r="C1868" i="85"/>
  <c r="C405" i="85"/>
  <c r="C1124" i="85"/>
  <c r="C1035" i="85"/>
  <c r="C1351" i="85"/>
  <c r="C596" i="85"/>
  <c r="C303" i="85"/>
  <c r="C1266" i="85"/>
  <c r="C1210" i="85"/>
  <c r="C1651" i="85"/>
  <c r="C238" i="85"/>
  <c r="C1659" i="85"/>
  <c r="C1926" i="85"/>
  <c r="C426" i="85"/>
  <c r="C832" i="85"/>
  <c r="C1149" i="85"/>
  <c r="C504" i="85"/>
  <c r="C1433" i="85"/>
  <c r="C1025" i="85"/>
  <c r="C1303" i="85"/>
  <c r="C942" i="85"/>
  <c r="C1732" i="85"/>
  <c r="C916" i="85"/>
  <c r="C1471" i="85"/>
  <c r="C1423" i="85"/>
  <c r="C625" i="85"/>
  <c r="C1765" i="85"/>
  <c r="C1057" i="85"/>
  <c r="C1590" i="85"/>
  <c r="C267" i="85"/>
  <c r="C1905" i="85"/>
  <c r="C1562" i="85"/>
  <c r="C1090" i="85"/>
  <c r="C587" i="85"/>
  <c r="C1146" i="85"/>
  <c r="C1685" i="85"/>
  <c r="C246" i="85"/>
  <c r="C465" i="85"/>
  <c r="C812" i="85"/>
  <c r="C1355" i="85"/>
  <c r="C572" i="85"/>
  <c r="C822" i="85"/>
  <c r="C1409" i="85"/>
  <c r="C1576" i="85"/>
  <c r="C690" i="85"/>
  <c r="C368" i="85"/>
  <c r="C171" i="85"/>
  <c r="C243" i="85"/>
  <c r="C1333" i="85"/>
  <c r="C531" i="85"/>
  <c r="C1566" i="85"/>
  <c r="C1964" i="85"/>
  <c r="C1115" i="85"/>
  <c r="C1658" i="85"/>
  <c r="C1779" i="85"/>
  <c r="C451" i="85"/>
  <c r="C1784" i="85"/>
  <c r="C705" i="85"/>
  <c r="C1400" i="85"/>
  <c r="C519" i="85"/>
  <c r="C1628" i="85"/>
  <c r="C1308" i="85"/>
  <c r="C1507" i="85"/>
  <c r="C416" i="85"/>
  <c r="C808" i="85"/>
  <c r="C1415" i="85"/>
  <c r="C1536" i="85"/>
  <c r="C190" i="85"/>
  <c r="C453" i="85"/>
  <c r="C258" i="85"/>
  <c r="C1789" i="85"/>
  <c r="C989" i="85"/>
  <c r="C842" i="85"/>
  <c r="C542" i="85"/>
  <c r="C953" i="85"/>
  <c r="C1268" i="85"/>
  <c r="C845" i="85"/>
  <c r="C1160" i="85"/>
  <c r="C806" i="85"/>
  <c r="C1746" i="85"/>
  <c r="C1748" i="85"/>
  <c r="C1567" i="85"/>
  <c r="C1983" i="85"/>
  <c r="C648" i="85"/>
  <c r="C862" i="85"/>
  <c r="C1295" i="85"/>
  <c r="C671" i="85"/>
  <c r="C1918" i="85"/>
  <c r="C1093" i="85"/>
  <c r="C1679" i="85"/>
  <c r="C1472" i="85"/>
  <c r="C840" i="85"/>
  <c r="C487" i="85"/>
  <c r="C1672" i="85"/>
  <c r="C400" i="85"/>
  <c r="C1413" i="85"/>
  <c r="C222" i="85"/>
  <c r="C1321" i="85"/>
  <c r="C1714" i="85"/>
  <c r="C1859" i="85"/>
  <c r="C1676" i="85"/>
  <c r="C489" i="85"/>
  <c r="C1002" i="85"/>
  <c r="C813" i="85"/>
  <c r="C316" i="85"/>
  <c r="C1796" i="85"/>
  <c r="C1150" i="85"/>
  <c r="C207" i="85"/>
  <c r="C219" i="85"/>
  <c r="C1486" i="85"/>
  <c r="C56" i="85"/>
  <c r="C547" i="85"/>
  <c r="C382" i="85"/>
  <c r="C1792" i="85"/>
  <c r="C1917" i="85"/>
  <c r="C1988" i="85"/>
  <c r="C1660" i="85"/>
  <c r="C372" i="85"/>
  <c r="C1071" i="85"/>
  <c r="C1201" i="85"/>
  <c r="C720" i="85"/>
  <c r="C399" i="85"/>
  <c r="C1450" i="85"/>
  <c r="C1475" i="85"/>
  <c r="C336" i="85"/>
  <c r="C556" i="85"/>
  <c r="C823" i="85"/>
  <c r="C1551" i="85"/>
  <c r="C748" i="85"/>
  <c r="C1441" i="85"/>
  <c r="C457" i="85"/>
  <c r="C1276" i="85"/>
  <c r="C520" i="85"/>
  <c r="C1531" i="85"/>
  <c r="C979" i="85"/>
  <c r="C474" i="85"/>
  <c r="C1080" i="85"/>
  <c r="C502" i="85"/>
  <c r="C388" i="85"/>
  <c r="C1380" i="85"/>
  <c r="C1956" i="85"/>
  <c r="C994" i="85"/>
  <c r="C620" i="85"/>
  <c r="C206" i="85"/>
  <c r="C623" i="85"/>
  <c r="C1271" i="85"/>
  <c r="C1858" i="85"/>
  <c r="C814" i="85"/>
  <c r="C365" i="85"/>
  <c r="C656" i="85"/>
  <c r="C1309" i="85"/>
  <c r="C1572" i="85"/>
  <c r="C294" i="85"/>
  <c r="C931" i="85"/>
  <c r="C1819" i="85"/>
  <c r="C745" i="85"/>
  <c r="C645" i="85"/>
  <c r="C1038" i="85"/>
  <c r="C1625" i="85"/>
  <c r="C1142" i="85"/>
  <c r="C260" i="85"/>
  <c r="C879" i="85"/>
  <c r="C1306" i="85"/>
  <c r="C1047" i="85"/>
  <c r="C543" i="85"/>
  <c r="C1317" i="85"/>
  <c r="C826" i="85"/>
  <c r="C1830" i="85"/>
  <c r="C991" i="85"/>
  <c r="C322" i="85"/>
  <c r="C1818" i="85"/>
  <c r="C958" i="85"/>
  <c r="C1664" i="85"/>
  <c r="C1221" i="85"/>
  <c r="C915" i="85"/>
  <c r="C1447" i="85"/>
  <c r="C544" i="85"/>
  <c r="C1583" i="85"/>
  <c r="C1775" i="85"/>
  <c r="C1856" i="85"/>
  <c r="C1282" i="85"/>
  <c r="C854" i="85"/>
  <c r="C1707" i="85"/>
  <c r="C1663" i="85"/>
  <c r="C1615" i="85"/>
  <c r="C412" i="85"/>
  <c r="C890" i="85"/>
  <c r="C893" i="85"/>
  <c r="C397" i="85"/>
  <c r="C701" i="85"/>
  <c r="C1085" i="85"/>
  <c r="C120" i="85"/>
  <c r="C960" i="85"/>
  <c r="C1292" i="85"/>
  <c r="C1121" i="85"/>
  <c r="C1594" i="85"/>
  <c r="C892" i="85"/>
  <c r="C1053" i="85"/>
  <c r="C212" i="85"/>
  <c r="C1048" i="85"/>
  <c r="C184" i="85"/>
  <c r="C1833" i="85"/>
  <c r="C1200" i="85"/>
  <c r="C1378" i="85"/>
  <c r="C529" i="85"/>
  <c r="C1191" i="85"/>
  <c r="C1373" i="85"/>
  <c r="C1498" i="85"/>
  <c r="C1208" i="85"/>
  <c r="C957" i="85"/>
  <c r="C266" i="85"/>
  <c r="C1391" i="85"/>
  <c r="C634" i="85"/>
  <c r="C1738" i="85"/>
  <c r="C450" i="85"/>
  <c r="C1426" i="85"/>
  <c r="C1483" i="85"/>
  <c r="C1476" i="85"/>
  <c r="C1540" i="85"/>
  <c r="C1009" i="85"/>
  <c r="C80" i="85"/>
  <c r="C1897" i="85"/>
  <c r="C1106" i="85"/>
  <c r="C1176" i="85"/>
  <c r="C988" i="85"/>
  <c r="C780" i="85"/>
  <c r="C1198" i="85"/>
  <c r="C1154" i="85"/>
  <c r="C1033" i="85"/>
  <c r="C1656" i="85"/>
  <c r="C1265" i="85"/>
  <c r="C1235" i="85"/>
  <c r="C1018" i="85"/>
  <c r="C496" i="85"/>
  <c r="C1893" i="85"/>
  <c r="C1605" i="85"/>
  <c r="C1642" i="85"/>
  <c r="C760" i="85"/>
  <c r="C1965" i="85"/>
  <c r="C1460" i="85"/>
  <c r="C1428" i="85"/>
  <c r="C438" i="85"/>
  <c r="C1665" i="85"/>
  <c r="C401" i="85"/>
  <c r="C28" i="85"/>
  <c r="C1083" i="85"/>
  <c r="C1110" i="85"/>
  <c r="C861" i="85"/>
  <c r="C1843" i="85"/>
  <c r="C1184" i="85"/>
  <c r="C63" i="85"/>
  <c r="C448" i="85"/>
  <c r="C881" i="85"/>
  <c r="C377" i="85"/>
  <c r="C1519" i="85"/>
  <c r="C1832" i="85"/>
  <c r="C757" i="85"/>
  <c r="C1232" i="85"/>
  <c r="C373" i="85"/>
  <c r="C1437" i="85"/>
  <c r="C1942" i="85"/>
  <c r="C432" i="85"/>
  <c r="C724" i="85"/>
  <c r="C1382" i="85"/>
  <c r="C564" i="85"/>
  <c r="C1186" i="85"/>
  <c r="C1138" i="85"/>
  <c r="C1629" i="85"/>
  <c r="C1730" i="85"/>
  <c r="C446" i="85"/>
  <c r="C345" i="85"/>
  <c r="C730" i="85"/>
  <c r="C1440" i="85"/>
  <c r="C688" i="85"/>
  <c r="C1690" i="85"/>
  <c r="C552" i="85"/>
  <c r="C1999" i="85"/>
  <c r="C1188" i="85"/>
  <c r="C1709" i="85"/>
  <c r="C1010" i="85"/>
  <c r="C281" i="85"/>
  <c r="C434" i="85"/>
  <c r="C851" i="85"/>
  <c r="C1985" i="85"/>
  <c r="C1871" i="85"/>
  <c r="C430" i="85"/>
  <c r="C342" i="85"/>
  <c r="C319" i="85"/>
  <c r="C236" i="85"/>
  <c r="C1803" i="85"/>
  <c r="C1453" i="85"/>
  <c r="C1940" i="85"/>
  <c r="C1716" i="85"/>
  <c r="C1215" i="85"/>
  <c r="C874" i="85"/>
  <c r="C1151" i="85"/>
  <c r="C1948" i="85"/>
  <c r="C540" i="85"/>
  <c r="C1888" i="85"/>
  <c r="C1634" i="85"/>
  <c r="C92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<sst xmlns="http://schemas.openxmlformats.org/spreadsheetml/2006/main" count="10554" uniqueCount="2403">
  <si>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</si>
  <si>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</si>
  <si>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</si>
  <si>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</si>
  <si>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</si>
  <si>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</si>
  <si>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</si>
  <si>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</si>
  <si>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</si>
  <si>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</si>
  <si>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</si>
  <si>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</si>
  <si>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</si>
  <si>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</si>
  <si>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</si>
  <si>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</si>
  <si>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</si>
  <si>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</si>
  <si>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</si>
  <si>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</si>
  <si>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</si>
  <si>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</si>
  <si>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</si>
  <si>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</si>
  <si>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</si>
  <si>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</si>
  <si>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</si>
  <si>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</si>
  <si>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</si>
  <si>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</si>
  <si>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</si>
  <si>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</si>
  <si>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</si>
  <si>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</si>
  <si>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</si>
  <si>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</si>
  <si>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</si>
  <si>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</si>
  <si>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</si>
  <si>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</si>
  <si>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</si>
  <si>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</si>
  <si>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</si>
  <si>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</si>
  <si>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</si>
  <si>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</si>
  <si>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</si>
  <si>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</si>
  <si>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</si>
  <si>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</si>
  <si>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</si>
  <si>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</si>
  <si>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</si>
  <si>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</si>
  <si>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</si>
  <si>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</si>
  <si>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</si>
  <si>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</si>
  <si>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</si>
  <si>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</si>
  <si>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</si>
  <si>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</si>
  <si>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</si>
  <si>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</si>
  <si>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</si>
  <si>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</si>
  <si>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</si>
  <si>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</si>
  <si>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</si>
  <si>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</si>
  <si>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</si>
  <si>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</si>
  <si>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</si>
  <si>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</si>
  <si>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</si>
  <si>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</si>
  <si>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</si>
  <si>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</si>
  <si>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</si>
  <si>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</si>
  <si>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</si>
  <si>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</si>
  <si>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</si>
  <si>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</si>
  <si>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</si>
  <si>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</si>
  <si>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</si>
  <si>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</si>
  <si>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</si>
  <si>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</si>
  <si>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</si>
  <si>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</si>
  <si>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</si>
  <si>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</si>
  <si>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</si>
  <si>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</si>
  <si>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</si>
  <si>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</si>
  <si>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</si>
  <si>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</si>
  <si>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</si>
  <si>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</si>
  <si>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</si>
  <si>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</si>
  <si>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</si>
  <si>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</si>
  <si>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</si>
  <si>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</si>
  <si>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</si>
  <si>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</si>
  <si>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</si>
  <si>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</si>
  <si>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</si>
  <si>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</si>
  <si>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</si>
  <si>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</si>
  <si>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</si>
  <si>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</si>
  <si>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</si>
  <si>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</si>
  <si>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</si>
  <si>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</si>
  <si>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</si>
  <si>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</si>
  <si>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</si>
  <si>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</si>
  <si>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</si>
  <si>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</si>
  <si>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</si>
  <si>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</si>
  <si>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</si>
  <si>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</si>
  <si>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</si>
  <si>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</si>
  <si>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</si>
  <si>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</si>
  <si>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</si>
  <si>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</si>
  <si>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</si>
  <si>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</si>
  <si>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</si>
  <si>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</si>
  <si>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</si>
  <si>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</si>
  <si>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</si>
  <si>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</si>
  <si>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</si>
  <si>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</si>
  <si>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</si>
  <si>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</si>
  <si>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</si>
  <si>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</si>
  <si>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</si>
  <si>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</si>
  <si>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</si>
  <si>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</si>
  <si>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</si>
  <si>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</si>
  <si>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</si>
  <si>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</si>
  <si>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</si>
  <si>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</si>
  <si>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</si>
  <si>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</si>
  <si>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</si>
  <si>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</si>
  <si>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</si>
  <si>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</si>
  <si>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</si>
  <si>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</si>
  <si>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</si>
  <si>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</si>
  <si>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</si>
  <si>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</si>
  <si>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</si>
  <si>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</si>
  <si>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</si>
  <si>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</si>
  <si>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</si>
  <si>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</si>
  <si>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</si>
  <si>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</si>
  <si>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</si>
  <si>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</si>
  <si>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</si>
  <si>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</si>
  <si>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</si>
  <si>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</si>
  <si>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</si>
  <si>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</si>
  <si>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</si>
  <si>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</si>
  <si>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</si>
  <si>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</si>
  <si>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</si>
  <si>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</si>
  <si>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</si>
  <si>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</si>
  <si>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</si>
  <si>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</si>
  <si>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</si>
  <si>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</si>
  <si>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</si>
  <si>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</si>
  <si>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</si>
  <si>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</si>
  <si>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</si>
  <si>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</si>
  <si>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</si>
  <si>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</si>
  <si>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</si>
  <si>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</si>
  <si>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</si>
  <si>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</si>
  <si>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</si>
  <si>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</si>
  <si>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</si>
  <si>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</si>
  <si>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</si>
  <si>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</si>
  <si>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</si>
  <si>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</si>
  <si>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</si>
  <si>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</si>
  <si>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</si>
  <si>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</si>
  <si>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</si>
  <si>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</si>
  <si>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</si>
  <si>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</si>
  <si>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</si>
  <si>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</si>
  <si>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</si>
  <si>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</si>
  <si>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</si>
  <si>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</si>
  <si>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</si>
  <si>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</si>
  <si>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</si>
  <si>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</si>
  <si>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</si>
  <si>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</si>
  <si>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</si>
  <si>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</si>
  <si>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</si>
  <si>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</si>
  <si>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</si>
  <si>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</si>
  <si>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</si>
  <si>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</si>
  <si>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</si>
  <si>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</si>
  <si>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</si>
  <si>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</si>
  <si>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</si>
  <si>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</si>
  <si>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</si>
  <si>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</si>
  <si>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</si>
  <si>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</si>
  <si>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</si>
  <si>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</si>
  <si>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</si>
  <si>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</si>
  <si>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</si>
  <si>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</si>
  <si>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</si>
  <si>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</si>
  <si>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</si>
  <si>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</si>
  <si>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</si>
  <si>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</si>
  <si>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</si>
  <si>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</si>
  <si>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</si>
  <si>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</si>
  <si>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</si>
  <si>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</si>
  <si>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</si>
  <si>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</si>
  <si>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</si>
  <si>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</si>
  <si>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</si>
  <si>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</si>
  <si>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</si>
  <si>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</si>
  <si>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</si>
  <si>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</si>
  <si>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</si>
  <si>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</si>
  <si>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</si>
  <si>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</si>
  <si>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</si>
  <si>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</si>
  <si>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</si>
  <si>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</si>
  <si>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</si>
  <si>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</si>
  <si>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</si>
  <si>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</si>
  <si>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</si>
  <si>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</si>
  <si>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</si>
  <si>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</si>
  <si>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</si>
  <si>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</si>
  <si>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</si>
  <si>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</si>
  <si>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</si>
  <si>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</si>
  <si>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</si>
  <si>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</si>
  <si>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</si>
  <si>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</si>
  <si>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</si>
  <si>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</si>
  <si>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</si>
  <si>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</si>
  <si>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</si>
  <si>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</si>
  <si>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</si>
  <si>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</si>
  <si>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</si>
  <si>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</si>
  <si>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</si>
  <si>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</si>
  <si>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</si>
  <si>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</si>
  <si>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</si>
  <si>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</si>
  <si>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</si>
  <si>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</si>
  <si>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</si>
  <si>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</si>
  <si>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</si>
  <si>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</si>
  <si>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</si>
  <si>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</si>
  <si>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</si>
  <si>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</si>
  <si>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</si>
  <si>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</si>
  <si>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</si>
  <si>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</si>
  <si>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</si>
  <si>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</si>
  <si>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</si>
  <si>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</si>
  <si>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</si>
  <si>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</si>
  <si>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</si>
  <si>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</si>
  <si>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</si>
  <si>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</si>
  <si>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</si>
  <si>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</si>
  <si>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</si>
  <si>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</si>
  <si>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</si>
  <si>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</si>
  <si>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</si>
  <si>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</si>
  <si>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</si>
  <si>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</si>
  <si>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</si>
  <si>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</si>
  <si>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</si>
  <si>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</si>
  <si>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</si>
  <si>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</si>
  <si>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</si>
  <si>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</si>
  <si>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</si>
  <si>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</si>
  <si>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</si>
  <si>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</si>
  <si>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</si>
  <si>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</si>
  <si>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</si>
  <si>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</si>
  <si>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</si>
  <si>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</si>
  <si>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</si>
  <si>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</si>
  <si>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</si>
  <si>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</si>
  <si>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</si>
  <si>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</si>
  <si>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</si>
  <si>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</si>
  <si>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</si>
  <si>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</si>
  <si>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</si>
  <si>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</si>
  <si>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</si>
  <si>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</si>
  <si>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</si>
  <si>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</si>
  <si>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</si>
  <si>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</si>
  <si>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</si>
  <si>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</si>
  <si>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</si>
  <si>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</si>
  <si>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</si>
  <si>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</si>
  <si>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</si>
  <si>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</si>
  <si>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</si>
  <si>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</si>
  <si>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</si>
  <si>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</si>
  <si>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</si>
  <si>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</si>
  <si>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</si>
  <si>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</si>
  <si>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</si>
  <si>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</si>
  <si>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</si>
  <si>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</si>
  <si>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</si>
  <si>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</si>
  <si>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</si>
  <si>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</si>
  <si>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</si>
  <si>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</si>
  <si>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</si>
  <si>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</si>
  <si>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</si>
  <si>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</si>
  <si>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</si>
  <si>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</si>
  <si>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</si>
  <si>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</si>
  <si>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</si>
  <si>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</si>
  <si>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</si>
  <si>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</si>
  <si>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</si>
  <si>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</si>
  <si>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</si>
  <si>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</si>
  <si>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</si>
  <si>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</si>
  <si>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</si>
  <si>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</si>
  <si>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</si>
  <si>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</si>
  <si>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</si>
  <si>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</si>
  <si>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</si>
  <si>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</si>
  <si>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</si>
  <si>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</si>
  <si>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</si>
  <si>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</si>
  <si>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</si>
  <si>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</si>
  <si>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</si>
  <si>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</si>
  <si>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</si>
  <si>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</si>
  <si>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</si>
  <si>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</si>
  <si>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</si>
  <si>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</si>
  <si>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</si>
  <si>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</si>
  <si>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</si>
  <si>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</si>
  <si>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</si>
  <si>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</si>
  <si>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</si>
  <si>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</si>
  <si>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</si>
  <si>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</si>
  <si>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</si>
  <si>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</si>
  <si>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</si>
  <si>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</si>
  <si>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</si>
  <si>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</si>
  <si>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</si>
  <si>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</si>
  <si>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</si>
  <si>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</si>
  <si>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</si>
  <si>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</si>
  <si>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</si>
  <si>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</si>
  <si>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</si>
  <si>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</si>
  <si>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</si>
  <si>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</si>
  <si>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</si>
  <si>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</si>
  <si>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</si>
  <si>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</si>
  <si>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</si>
  <si>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</si>
  <si>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</si>
  <si>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</si>
  <si>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</si>
  <si>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</si>
  <si>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</si>
  <si>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</si>
  <si>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</si>
  <si>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</si>
  <si>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</si>
  <si>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</si>
  <si>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</si>
  <si>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</si>
  <si>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</si>
  <si>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</si>
  <si>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</si>
  <si>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</si>
  <si>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</si>
  <si>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</si>
  <si>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</si>
  <si>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</si>
  <si>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</si>
  <si>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</si>
  <si>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</si>
  <si>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</si>
  <si>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</si>
  <si>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</si>
  <si>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</si>
  <si>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</si>
  <si>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</si>
  <si>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</si>
  <si>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</si>
  <si>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</si>
  <si>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</si>
  <si>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</si>
  <si>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</si>
  <si>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</si>
  <si>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</si>
  <si>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</si>
  <si>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</si>
  <si>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</si>
  <si>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</si>
  <si>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</si>
  <si>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</si>
  <si>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</si>
  <si>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</si>
  <si>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</si>
  <si>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</si>
  <si>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</si>
  <si>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</si>
  <si>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</si>
  <si>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</si>
  <si>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</si>
  <si>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</si>
  <si>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</si>
  <si>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</si>
  <si>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</si>
  <si>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</si>
  <si>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</si>
  <si>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</si>
  <si>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</si>
  <si>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</si>
  <si>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</si>
  <si>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</si>
  <si>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</si>
  <si>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</si>
  <si>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</si>
  <si>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</si>
  <si>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</si>
  <si>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</si>
  <si>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</si>
  <si>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</si>
  <si>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</si>
  <si>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</si>
  <si>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</si>
  <si>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</si>
  <si>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</si>
  <si>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</si>
  <si>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</si>
  <si>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</si>
  <si>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</si>
  <si>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</si>
  <si>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</si>
  <si>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</si>
  <si>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</si>
  <si>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</si>
  <si>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</si>
  <si>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</si>
  <si>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</si>
  <si>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</si>
  <si>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</si>
  <si>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</si>
  <si>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</si>
  <si>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</si>
  <si>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</si>
  <si>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</si>
  <si>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</si>
  <si>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</si>
  <si>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</si>
  <si>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</si>
  <si>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</si>
  <si>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</si>
  <si>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</si>
  <si>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</si>
  <si>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</si>
  <si>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</si>
  <si>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</si>
  <si>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</si>
  <si>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</si>
  <si>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</si>
  <si>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</si>
  <si>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</si>
  <si>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</si>
  <si>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</si>
  <si>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</si>
  <si>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</si>
  <si>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</si>
  <si>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</si>
  <si>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</si>
  <si>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</si>
  <si>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</si>
  <si>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</si>
  <si>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</si>
  <si>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</si>
  <si>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</si>
  <si>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</si>
  <si>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</si>
  <si>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</si>
  <si>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</si>
  <si>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</si>
  <si>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</si>
  <si>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</si>
  <si>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</si>
  <si>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</si>
  <si>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</si>
  <si>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</si>
  <si>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</si>
  <si>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</si>
  <si>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</si>
  <si>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</si>
  <si>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</si>
  <si>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</si>
  <si>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</si>
  <si>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</si>
  <si>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</si>
  <si>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</si>
  <si>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</si>
  <si>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</si>
  <si>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</si>
  <si>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</si>
  <si>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</si>
  <si>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</si>
  <si>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</si>
  <si>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</si>
  <si>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</si>
  <si>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</si>
  <si>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</si>
  <si>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</si>
  <si>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</si>
  <si>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</si>
  <si>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</si>
  <si>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</si>
  <si>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</si>
  <si>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</si>
  <si>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</si>
  <si>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</si>
  <si>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</si>
  <si>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</si>
  <si>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</si>
  <si>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</si>
  <si>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</si>
  <si>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</si>
  <si>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</si>
  <si>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</si>
  <si>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</si>
  <si>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</si>
  <si>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</si>
  <si>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</si>
  <si>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</si>
  <si>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</si>
  <si>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</si>
  <si>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</si>
  <si>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</si>
  <si>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</si>
  <si>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</si>
  <si>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</si>
  <si>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</si>
  <si>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</si>
  <si>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</si>
  <si>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</si>
  <si>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</si>
  <si>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</si>
  <si>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</si>
  <si>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</si>
  <si>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</si>
  <si>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</si>
  <si>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</si>
  <si>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</si>
  <si>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</si>
  <si>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</si>
  <si>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</si>
  <si>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</si>
  <si>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</si>
  <si>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</si>
  <si>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</si>
  <si>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</si>
  <si>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</si>
  <si>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</si>
  <si>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</si>
  <si>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</si>
  <si>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</si>
  <si>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</si>
  <si>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</si>
  <si>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</si>
  <si>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</si>
  <si>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</si>
  <si>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</si>
  <si>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</si>
  <si>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</si>
  <si>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</si>
  <si>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</si>
  <si>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</si>
  <si>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</si>
  <si>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</si>
  <si>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</si>
  <si>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</si>
  <si>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</si>
  <si>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</si>
  <si>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</si>
  <si>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</si>
  <si>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</si>
  <si>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</si>
  <si>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</si>
  <si>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</si>
  <si>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</si>
  <si>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</si>
  <si>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</si>
  <si>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</si>
  <si>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</si>
  <si>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</si>
  <si>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</si>
  <si>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</si>
  <si>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</si>
  <si>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</si>
  <si>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</si>
  <si>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</si>
  <si>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</si>
  <si>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</si>
  <si>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</si>
  <si>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</si>
  <si>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</si>
  <si>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</si>
  <si>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</si>
  <si>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</si>
  <si>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</si>
  <si>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</si>
  <si>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</si>
  <si>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</si>
  <si>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</si>
  <si>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</si>
  <si>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</si>
  <si>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</si>
  <si>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</si>
  <si>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</si>
  <si>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</si>
  <si>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</si>
  <si>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</si>
  <si>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</si>
  <si>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</si>
  <si>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</si>
  <si>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</si>
  <si>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</si>
  <si>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</si>
  <si>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</si>
  <si>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</si>
  <si>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</si>
  <si>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</si>
  <si>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</si>
  <si>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</si>
  <si>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</si>
  <si>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</si>
  <si>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</si>
  <si>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</si>
  <si>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</si>
  <si>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</si>
  <si>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</si>
  <si>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</si>
  <si>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</si>
  <si>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</si>
  <si>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</si>
  <si>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</si>
  <si>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</si>
  <si>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</si>
  <si>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</si>
  <si>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</si>
  <si>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</si>
  <si>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</si>
  <si>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</si>
  <si>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</si>
  <si>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</si>
  <si>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</si>
  <si>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</si>
  <si>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</si>
  <si>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</si>
  <si>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</si>
  <si>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</si>
  <si>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</si>
  <si>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</si>
  <si>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</si>
  <si>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</si>
  <si>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</si>
  <si>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</si>
  <si>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</si>
  <si>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</si>
  <si>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</si>
  <si>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</si>
  <si>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</si>
  <si>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</si>
  <si>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</si>
  <si>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</si>
  <si>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</si>
  <si>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</si>
  <si>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</si>
  <si>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</si>
  <si>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</si>
  <si>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</si>
  <si>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</si>
  <si>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</si>
  <si>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</si>
  <si>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</si>
  <si>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</si>
  <si>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</si>
  <si>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</si>
  <si>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</si>
  <si>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</si>
  <si>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</si>
  <si>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</si>
  <si>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</si>
  <si>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</si>
  <si>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</si>
  <si>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</si>
  <si>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</si>
  <si>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</si>
  <si>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</si>
  <si>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</si>
  <si>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</si>
  <si>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</si>
  <si>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</si>
  <si>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</si>
  <si>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</si>
  <si>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</si>
  <si>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</si>
  <si>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</si>
  <si>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</si>
  <si>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</si>
  <si>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</si>
  <si>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</si>
  <si>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</si>
  <si>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</si>
  <si>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</si>
  <si>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</si>
  <si>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</si>
  <si>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</si>
  <si>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</si>
  <si>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</si>
  <si>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</si>
  <si>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</si>
  <si>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</si>
  <si>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</si>
  <si>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</si>
  <si>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</si>
  <si>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</si>
  <si>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</si>
  <si>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</si>
  <si>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</si>
  <si>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</si>
  <si>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</si>
  <si>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</si>
  <si>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</si>
  <si>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</si>
  <si>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</si>
  <si>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</si>
  <si>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</si>
  <si>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</si>
  <si>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</si>
  <si>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</si>
  <si>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</si>
  <si>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</si>
  <si>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</si>
  <si>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</si>
  <si>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</si>
  <si>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</si>
  <si>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</si>
  <si>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</si>
  <si>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</si>
  <si>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</si>
  <si>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</si>
  <si>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</si>
  <si>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</si>
  <si>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</si>
  <si>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</si>
  <si>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</si>
  <si>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</si>
  <si>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</si>
  <si>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</si>
  <si>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</si>
  <si>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</si>
  <si>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</si>
  <si>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</si>
  <si>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</si>
  <si>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</si>
  <si>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</si>
  <si>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</si>
  <si>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</si>
  <si>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</si>
  <si>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</si>
  <si>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</si>
  <si>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</si>
  <si>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</si>
  <si>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</si>
  <si>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</si>
  <si>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</si>
  <si>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</si>
  <si>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</si>
  <si>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</si>
  <si>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</si>
  <si>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</si>
  <si>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</si>
  <si>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</si>
  <si>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</si>
  <si>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</si>
  <si>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</si>
  <si>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</si>
  <si>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</si>
  <si>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</si>
  <si>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</si>
  <si>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</si>
  <si>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</si>
  <si>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</si>
  <si>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</si>
  <si>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</si>
  <si>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</si>
  <si>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</si>
  <si>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</si>
  <si>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</si>
  <si>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</si>
  <si>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</si>
  <si>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</si>
  <si>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</si>
  <si>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</si>
  <si>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</si>
  <si>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</si>
  <si>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</si>
  <si>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</si>
  <si>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</si>
  <si>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</si>
  <si>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</si>
  <si>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</si>
  <si>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</si>
  <si>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</si>
  <si>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</si>
  <si>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</si>
  <si>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</si>
  <si>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</si>
  <si>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</si>
  <si>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</si>
  <si>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</si>
  <si>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</si>
  <si>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</si>
  <si>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</si>
  <si>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</si>
  <si>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</si>
  <si>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</si>
  <si>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</si>
  <si>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</si>
  <si>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</si>
  <si>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</si>
  <si>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</si>
  <si>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</si>
  <si>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</si>
  <si>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</si>
  <si>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</si>
  <si>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</si>
  <si>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</si>
  <si>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</si>
  <si>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</si>
  <si>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</si>
  <si>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</si>
  <si>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</si>
  <si>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</si>
  <si>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</si>
  <si>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</si>
  <si>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</si>
  <si>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</si>
  <si>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</si>
  <si>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</si>
  <si>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</si>
  <si>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</si>
  <si>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</si>
  <si>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</si>
  <si>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</si>
  <si>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</si>
  <si>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</si>
  <si>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</si>
  <si>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</si>
  <si>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</si>
  <si>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</si>
  <si>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</si>
  <si>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</si>
  <si>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</si>
  <si>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</si>
  <si>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</si>
  <si>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</si>
  <si>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</si>
  <si>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</si>
  <si>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</si>
  <si>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</si>
  <si>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</si>
  <si>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</si>
  <si>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</si>
  <si>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</si>
  <si>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</si>
  <si>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</si>
  <si>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</si>
  <si>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</si>
  <si>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</si>
  <si>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</si>
  <si>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</si>
  <si>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</si>
  <si>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</si>
  <si>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</si>
  <si>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</si>
  <si>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</si>
  <si>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</si>
  <si>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</si>
  <si>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</si>
  <si>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</si>
  <si>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</si>
  <si>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</si>
  <si>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</si>
  <si>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</si>
  <si>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</si>
  <si>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</si>
  <si>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</si>
  <si>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</si>
  <si>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</si>
  <si>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</si>
  <si>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</si>
  <si>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</si>
  <si>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</si>
  <si>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</si>
  <si>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</si>
  <si>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</si>
  <si>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</si>
  <si>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</si>
  <si>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</si>
  <si>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</si>
  <si>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</si>
  <si>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</si>
  <si>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</si>
  <si>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</si>
  <si>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</si>
  <si>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</si>
  <si>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</si>
  <si>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</si>
  <si>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</si>
  <si>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</si>
  <si>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</si>
  <si>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</si>
  <si>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</si>
  <si>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</si>
  <si>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</si>
  <si>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</si>
  <si>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</si>
  <si>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</si>
  <si>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</si>
  <si>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</si>
  <si>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</si>
  <si>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</si>
  <si>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</si>
  <si>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</si>
  <si>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</si>
  <si>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</si>
  <si>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</si>
  <si>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</si>
  <si>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</si>
  <si>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</si>
  <si>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</si>
  <si>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</si>
  <si>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</si>
  <si>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</si>
  <si>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</si>
  <si>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</si>
  <si>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</si>
  <si>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</si>
  <si>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</si>
  <si>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</si>
  <si>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</si>
  <si>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</si>
  <si>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</si>
  <si>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</si>
  <si>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</si>
  <si>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</si>
  <si>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</si>
  <si>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</si>
  <si>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</si>
  <si>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</si>
  <si>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</si>
  <si>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</si>
  <si>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</si>
  <si>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</si>
  <si>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</si>
  <si>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</si>
  <si>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</si>
  <si>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</si>
  <si>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</si>
  <si>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</si>
  <si>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</si>
  <si>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</si>
  <si>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</si>
  <si>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</si>
  <si>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</si>
  <si>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</si>
  <si>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</si>
  <si>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</si>
  <si>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</si>
  <si>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</si>
  <si>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</si>
  <si>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</si>
  <si>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</si>
  <si>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</si>
  <si>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</si>
  <si>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</si>
  <si>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</si>
  <si>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</si>
  <si>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</si>
  <si>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</si>
  <si>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</si>
  <si>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</si>
  <si>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</si>
  <si>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</si>
  <si>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</si>
  <si>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</si>
  <si>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</si>
  <si>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</si>
  <si>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</si>
  <si>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</si>
  <si>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</si>
  <si>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</si>
  <si>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</si>
  <si>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</si>
  <si>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</si>
  <si>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</si>
  <si>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</si>
  <si>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</si>
  <si>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</si>
  <si>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</si>
  <si>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</si>
  <si>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</si>
  <si>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</si>
  <si>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</si>
  <si>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</si>
  <si>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</si>
  <si>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</si>
  <si>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</si>
  <si>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</si>
  <si>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</si>
  <si>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</si>
  <si>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</si>
  <si>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</si>
  <si>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</si>
  <si>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</si>
  <si>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</si>
  <si>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</si>
  <si>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</si>
  <si>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</si>
  <si>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</si>
  <si>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</si>
  <si>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</si>
  <si>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</si>
  <si>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</si>
  <si>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</si>
  <si>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</si>
  <si>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</si>
  <si>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</si>
  <si>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</si>
  <si>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</si>
  <si>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</si>
  <si>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</si>
  <si>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</si>
  <si>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</si>
  <si>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</si>
  <si>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</si>
  <si>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</si>
  <si>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</si>
  <si>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</si>
  <si>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</si>
  <si>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</si>
  <si>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</si>
  <si>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</si>
  <si>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</si>
  <si>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</si>
  <si>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</si>
  <si>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</si>
  <si>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</si>
  <si>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</si>
  <si>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</si>
  <si>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</si>
  <si>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</si>
  <si>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</si>
  <si>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</si>
  <si>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</si>
  <si>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</si>
  <si>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</si>
  <si>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</si>
  <si>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</si>
  <si>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</si>
  <si>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</si>
  <si>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</si>
  <si>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</si>
  <si>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</si>
  <si>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</si>
  <si>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</si>
  <si>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</si>
  <si>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</si>
  <si>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</si>
  <si>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</si>
  <si>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</si>
  <si>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</si>
  <si>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</si>
  <si>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</si>
  <si>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</si>
  <si>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</si>
  <si>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</si>
  <si>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</si>
  <si>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</si>
  <si>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</si>
  <si>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</si>
  <si>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</si>
  <si>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</si>
  <si>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</si>
  <si>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</si>
  <si>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</si>
  <si>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</si>
  <si>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</si>
  <si>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</si>
  <si>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</si>
  <si>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</si>
  <si>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</si>
  <si>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</si>
  <si>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</si>
  <si>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</si>
  <si>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</si>
  <si>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</si>
  <si>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</si>
  <si>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</si>
  <si>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</si>
  <si>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</si>
  <si>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</si>
  <si>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</si>
  <si>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</si>
  <si>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</si>
  <si>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</si>
  <si>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</si>
  <si>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</si>
  <si>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</si>
  <si>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</si>
  <si>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</si>
  <si>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</si>
  <si>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</si>
  <si>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</si>
  <si>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</si>
  <si>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</si>
  <si>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</si>
  <si>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</si>
  <si>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</si>
  <si>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</si>
  <si>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</si>
  <si>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</si>
  <si>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</si>
  <si>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</si>
  <si>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</si>
  <si>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</si>
  <si>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</si>
  <si>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</si>
  <si>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</si>
  <si>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</si>
  <si>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</si>
  <si>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</si>
  <si>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</si>
  <si>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</si>
  <si>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</si>
  <si>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</si>
  <si>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</si>
  <si>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</si>
  <si>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</si>
  <si>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</si>
  <si>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</si>
  <si>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</si>
  <si>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</si>
  <si>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</si>
  <si>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</si>
  <si>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</si>
  <si>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</si>
  <si>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</si>
  <si>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</si>
  <si>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</si>
  <si>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</si>
  <si>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</si>
  <si>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</si>
  <si>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</si>
  <si>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</si>
  <si>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</si>
  <si>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</si>
  <si>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</si>
  <si>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</si>
  <si>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</si>
  <si>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</si>
  <si>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</si>
  <si>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</si>
  <si>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</si>
  <si>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</si>
  <si>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</si>
  <si>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</si>
  <si>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</si>
  <si>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</si>
  <si>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</si>
  <si>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</si>
  <si>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</si>
  <si>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</si>
  <si>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</si>
  <si>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</si>
  <si>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</si>
  <si>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</si>
  <si>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</si>
  <si>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</si>
  <si>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</si>
  <si>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</si>
  <si>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</si>
  <si>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</si>
  <si>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</si>
  <si>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</si>
  <si>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</si>
  <si>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</si>
  <si>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</si>
  <si>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</si>
  <si>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</si>
  <si>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</si>
  <si>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</si>
  <si>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</si>
  <si>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</si>
  <si>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</si>
  <si>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</si>
  <si>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</si>
  <si>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</si>
  <si>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</si>
  <si>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</si>
  <si>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</si>
  <si>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</si>
  <si>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</si>
  <si>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</si>
  <si>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</si>
  <si>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</si>
  <si>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</si>
  <si>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</si>
  <si>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</si>
  <si>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</si>
  <si>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</si>
  <si>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</si>
  <si>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</si>
  <si>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</si>
  <si>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</si>
  <si>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</si>
  <si>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</si>
  <si>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</si>
  <si>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</si>
  <si>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</si>
  <si>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</si>
  <si>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</si>
  <si>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</si>
  <si>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</si>
  <si>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</si>
  <si>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</si>
  <si>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</si>
  <si>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</si>
  <si>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</si>
  <si>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</si>
  <si>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</si>
  <si>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</si>
  <si>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</si>
  <si>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</si>
  <si>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</si>
  <si>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</si>
  <si>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</si>
  <si>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</si>
  <si>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</si>
  <si>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</si>
  <si>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</si>
  <si>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</si>
  <si>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</si>
  <si>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</si>
  <si>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</si>
  <si>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</si>
  <si>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</si>
  <si>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</si>
  <si>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</si>
  <si>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</si>
  <si>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</si>
  <si>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</si>
  <si>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</si>
  <si>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</si>
  <si>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</si>
  <si>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</si>
  <si>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</si>
  <si>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</si>
  <si>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</si>
  <si>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</si>
  <si>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</si>
  <si>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</si>
  <si>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</si>
  <si>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</si>
  <si>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</si>
  <si>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</si>
  <si>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</si>
  <si>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</si>
  <si>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</si>
  <si>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</si>
  <si>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</si>
  <si>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</si>
  <si>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</si>
  <si>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</si>
  <si>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</si>
  <si>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</si>
  <si>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</si>
  <si>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</si>
  <si>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</si>
  <si>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</si>
  <si>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</si>
  <si>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</si>
  <si>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</si>
  <si>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</si>
  <si>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</si>
  <si>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</si>
  <si>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</si>
  <si>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</si>
  <si>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</si>
  <si>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</si>
  <si>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</si>
  <si>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</si>
  <si>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</si>
  <si>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</si>
  <si>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</si>
  <si>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</si>
  <si>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</si>
  <si>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</si>
  <si>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</si>
  <si>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</si>
  <si>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</si>
  <si>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</si>
  <si>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</si>
  <si>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</si>
  <si>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</si>
  <si>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</si>
  <si>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</si>
  <si>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</si>
  <si>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</si>
  <si>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</si>
  <si>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</si>
  <si>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</si>
  <si>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</si>
  <si>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</si>
  <si>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</si>
  <si>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</si>
  <si>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</si>
  <si>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</si>
  <si>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</si>
  <si>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</si>
  <si>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</si>
  <si>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</si>
  <si>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</si>
  <si>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</si>
  <si>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</si>
  <si>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</si>
  <si>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</si>
  <si>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</si>
  <si>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</si>
  <si>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</si>
  <si>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</si>
  <si>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</si>
  <si>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</si>
  <si>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</si>
  <si>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</si>
  <si>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</si>
  <si>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</si>
  <si>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</si>
  <si>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</si>
  <si>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</si>
  <si>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</si>
  <si>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</si>
  <si>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</si>
  <si>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</si>
  <si>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</si>
  <si>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</si>
  <si>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</si>
  <si>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</si>
  <si>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</si>
  <si>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</si>
  <si>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</si>
  <si>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</si>
  <si>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</si>
  <si>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</si>
  <si>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</si>
  <si>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</si>
  <si>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</si>
  <si>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</si>
  <si>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</si>
  <si>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</si>
  <si>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</si>
  <si>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</si>
  <si>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</si>
  <si>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</si>
  <si>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</si>
  <si>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</si>
  <si>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</si>
  <si>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</si>
  <si>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</si>
  <si>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</si>
  <si>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</si>
  <si>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</si>
  <si>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</si>
  <si>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</si>
  <si>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</si>
  <si>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</si>
  <si>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</si>
  <si>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</si>
  <si>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</si>
  <si>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</si>
  <si>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</si>
  <si>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</si>
  <si>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</si>
  <si>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</si>
  <si>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</si>
  <si>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</si>
  <si>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</si>
  <si>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</si>
  <si>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</si>
  <si>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</si>
  <si>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</si>
  <si>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</si>
  <si>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</si>
  <si>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</si>
  <si>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</si>
  <si>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</si>
  <si>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</si>
  <si>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</si>
  <si>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</si>
  <si>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</si>
  <si>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</si>
  <si>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</si>
  <si>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</si>
  <si>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</si>
  <si>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</si>
  <si>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</si>
  <si>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</si>
  <si>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</si>
  <si>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</si>
  <si>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</si>
  <si>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</si>
  <si>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</si>
  <si>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</si>
  <si>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</si>
  <si>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</si>
  <si>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</si>
  <si>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</si>
  <si>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</si>
  <si>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</si>
  <si>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</si>
  <si>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</si>
  <si>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</si>
  <si>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</si>
  <si>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</si>
  <si>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</si>
  <si>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</si>
  <si>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</si>
  <si>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</si>
  <si>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</si>
  <si>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</si>
  <si>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</si>
  <si>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</si>
  <si>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</si>
  <si>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</si>
  <si>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</si>
  <si>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</si>
  <si>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</si>
  <si>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</si>
  <si>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</si>
  <si>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</si>
  <si>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</si>
  <si>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</si>
  <si>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</si>
  <si>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</si>
  <si>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</si>
  <si>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</si>
  <si>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</si>
  <si>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</si>
  <si>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</si>
  <si>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</si>
  <si>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</si>
  <si>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</si>
  <si>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</si>
  <si>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</si>
  <si>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</si>
  <si>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</si>
  <si>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</si>
  <si>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</si>
  <si>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</si>
  <si>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</si>
  <si>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</si>
  <si>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</si>
  <si>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</si>
  <si>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</si>
  <si>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</si>
  <si>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</si>
  <si>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</si>
  <si>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</si>
  <si>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</si>
  <si>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</si>
  <si>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</si>
  <si>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</si>
  <si>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</si>
  <si>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</si>
  <si>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</si>
  <si>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</si>
  <si>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</si>
  <si>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</si>
  <si>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</si>
  <si>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</si>
  <si>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</si>
  <si>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</si>
  <si>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</si>
  <si>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</si>
  <si>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</si>
  <si>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</si>
  <si>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</si>
  <si>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</si>
  <si>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</si>
  <si>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</si>
  <si>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</si>
  <si>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</si>
  <si>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</si>
  <si>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</si>
  <si>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</si>
  <si>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</si>
  <si>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</si>
  <si>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</si>
  <si>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</si>
  <si>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</si>
  <si>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</si>
  <si>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</si>
  <si>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</si>
  <si>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</si>
  <si>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</si>
  <si>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</si>
  <si>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</si>
  <si>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</si>
  <si>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</si>
  <si>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</si>
  <si>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</si>
  <si>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</si>
  <si>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</si>
  <si>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</si>
  <si>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</si>
  <si>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</si>
  <si>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</si>
  <si>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</si>
  <si>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</si>
  <si>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</si>
  <si>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</si>
  <si>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</si>
  <si>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</si>
  <si>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</si>
  <si>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</si>
  <si>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</si>
  <si>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</si>
  <si>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</si>
  <si>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</si>
  <si>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</si>
  <si>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</si>
  <si>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</si>
  <si>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</si>
  <si>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</si>
  <si>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</si>
  <si>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</si>
  <si>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</si>
  <si>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</si>
  <si>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</si>
  <si>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</si>
  <si>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</si>
  <si>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</si>
  <si>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</si>
  <si>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</si>
  <si>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</si>
  <si>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</si>
  <si>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</si>
  <si>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</si>
  <si>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</si>
  <si>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</si>
  <si>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</si>
  <si>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</si>
  <si>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</si>
  <si>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</si>
  <si>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</si>
  <si>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</si>
  <si>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</si>
  <si>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</si>
  <si>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</si>
  <si>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</si>
  <si>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</si>
  <si>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</si>
  <si>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</si>
  <si>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</si>
  <si>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</si>
  <si>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</si>
  <si>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</si>
  <si>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</si>
  <si>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</si>
  <si>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</si>
  <si>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</si>
  <si>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</si>
  <si>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</si>
  <si>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</si>
  <si>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</si>
  <si>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</si>
  <si>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</si>
  <si>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</si>
  <si>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</si>
  <si>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</si>
  <si>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</si>
  <si>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</si>
  <si>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</si>
  <si>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</si>
  <si>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</si>
  <si>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</si>
  <si>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</si>
  <si>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</si>
  <si>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</si>
  <si>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</si>
  <si>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</si>
  <si>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</si>
  <si>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</si>
  <si>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</si>
  <si>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</si>
  <si>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</si>
  <si>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</si>
  <si>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</si>
  <si>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</si>
  <si>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</si>
  <si>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</si>
  <si>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</si>
  <si>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</si>
  <si>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</si>
  <si>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</si>
  <si>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</si>
  <si>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</si>
  <si>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</si>
  <si>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</si>
  <si>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</si>
  <si>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</si>
  <si>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</si>
  <si>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</si>
  <si>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</si>
  <si>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</si>
  <si>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</si>
  <si>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</si>
  <si>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</si>
  <si>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</si>
  <si>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</si>
  <si>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</si>
  <si>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</si>
  <si>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</si>
  <si>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</si>
  <si>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</si>
  <si>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</si>
  <si>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</si>
  <si>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</si>
  <si>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</si>
  <si>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</si>
  <si>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</si>
  <si>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</si>
  <si>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</si>
  <si>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</si>
  <si>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</si>
  <si>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</si>
  <si>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</si>
  <si>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</si>
  <si>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</si>
  <si>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</si>
  <si>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</si>
  <si>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</si>
  <si>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</si>
  <si>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</si>
  <si>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</si>
  <si>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</si>
  <si>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</si>
  <si>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</si>
  <si>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</si>
  <si>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</si>
  <si>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</si>
  <si>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</si>
  <si>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</si>
  <si>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</si>
  <si>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</si>
  <si>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</si>
  <si>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</si>
  <si>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</si>
  <si>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</si>
  <si>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</si>
  <si>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</si>
  <si>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</si>
  <si>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</si>
  <si>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</si>
  <si>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</si>
  <si>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</si>
  <si>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</si>
  <si>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</si>
  <si>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</si>
  <si>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</si>
  <si>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</si>
  <si>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</si>
  <si>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</si>
  <si>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</si>
  <si>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</si>
  <si>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</si>
  <si>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</si>
  <si>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</si>
  <si>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</si>
  <si>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</si>
  <si>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</si>
  <si>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</si>
  <si>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</si>
  <si>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</si>
  <si>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</si>
  <si>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</si>
  <si>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</si>
  <si>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</si>
  <si>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</si>
  <si>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</si>
  <si>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</si>
  <si>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</si>
  <si>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</si>
  <si>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</si>
  <si>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</si>
  <si>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</si>
  <si>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</si>
  <si>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</si>
  <si>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</si>
  <si>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</si>
  <si>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</si>
  <si>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</si>
  <si>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</si>
  <si>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</si>
  <si>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</si>
  <si>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</si>
  <si>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</si>
  <si>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</si>
  <si>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</si>
  <si>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</si>
  <si>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</si>
  <si>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</si>
  <si>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</si>
  <si>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</si>
  <si>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</si>
  <si>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</si>
  <si>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</si>
  <si>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</si>
  <si>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</si>
  <si>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</si>
  <si>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</si>
  <si>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</si>
  <si>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</si>
  <si>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</si>
  <si>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</si>
  <si>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</si>
  <si>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</si>
  <si>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</si>
  <si>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</si>
  <si>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</si>
  <si>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</si>
  <si>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</si>
  <si>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</si>
  <si>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</si>
  <si>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</si>
  <si>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</si>
  <si>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</si>
  <si>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</si>
  <si>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</si>
  <si>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</si>
  <si>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</si>
  <si>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</si>
  <si>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</si>
  <si>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</si>
  <si>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</si>
  <si>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</si>
  <si>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</si>
  <si>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</si>
  <si>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</si>
  <si>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</si>
  <si>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</si>
  <si>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</si>
  <si>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</si>
  <si>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</si>
  <si>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</si>
  <si>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</si>
  <si>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</si>
  <si>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</si>
  <si>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</si>
  <si>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</si>
  <si>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</si>
  <si>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</si>
  <si>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</si>
  <si>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</si>
  <si>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</si>
  <si>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</si>
  <si>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</si>
  <si>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</si>
  <si>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</si>
  <si>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</si>
  <si>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</si>
  <si>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</si>
  <si>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</si>
  <si>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</si>
  <si>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</si>
  <si>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</si>
  <si>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</si>
  <si>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</si>
  <si>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</si>
  <si>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</si>
  <si>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</si>
  <si>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</si>
  <si>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</si>
  <si>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</si>
  <si>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</si>
  <si>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</si>
  <si>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</si>
  <si>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</si>
  <si>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</si>
  <si>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</si>
  <si>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</si>
  <si>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</si>
  <si>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</si>
  <si>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</si>
  <si>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</si>
  <si>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</si>
  <si>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</si>
  <si>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</si>
  <si>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</si>
  <si>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</si>
  <si>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</si>
  <si>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</si>
  <si>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</si>
  <si>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</si>
  <si>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</si>
  <si>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</si>
  <si>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</si>
  <si>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</si>
  <si>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</si>
  <si>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</si>
  <si>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</si>
  <si>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</si>
  <si>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</si>
  <si>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</si>
  <si>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</si>
  <si>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</si>
  <si>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</si>
  <si>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</si>
  <si>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</si>
  <si>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</si>
  <si>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</si>
  <si>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</si>
  <si>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</si>
  <si>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</si>
  <si>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</si>
  <si>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</si>
  <si>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</si>
  <si>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</si>
  <si>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</si>
  <si>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</si>
  <si>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</si>
  <si>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</si>
  <si>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</si>
  <si>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</si>
  <si>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</si>
  <si>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</si>
  <si>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</si>
  <si>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</si>
  <si>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</si>
  <si>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</si>
  <si>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</si>
  <si>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</si>
  <si>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</si>
  <si>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</si>
  <si>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</si>
  <si>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</si>
  <si>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</si>
  <si>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</si>
  <si>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</si>
  <si>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</si>
  <si>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</si>
  <si>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</si>
  <si>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</si>
  <si>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</si>
  <si>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</si>
  <si>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</si>
  <si>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</si>
  <si>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</si>
  <si>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</si>
  <si>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</si>
  <si>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</si>
  <si>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</si>
  <si>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</si>
  <si>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</si>
  <si>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</si>
  <si>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</si>
  <si>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</si>
  <si>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</si>
  <si>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</si>
  <si>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</si>
  <si>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</si>
  <si>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</si>
  <si>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</si>
  <si>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</si>
  <si>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</si>
  <si>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</si>
  <si>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</si>
  <si>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</si>
  <si>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</si>
  <si>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</si>
  <si>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</si>
  <si>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</si>
  <si>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</si>
  <si>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</si>
  <si>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</si>
  <si>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</si>
  <si>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</si>
  <si>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</si>
  <si>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</si>
  <si>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</si>
  <si>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</si>
  <si>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</si>
  <si>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</si>
  <si>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</si>
  <si>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</si>
  <si>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</si>
  <si>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</si>
  <si>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</si>
  <si>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</si>
  <si>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</si>
  <si>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</si>
  <si>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</si>
  <si>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</si>
  <si>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</si>
  <si>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</si>
  <si>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</si>
  <si>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</si>
  <si>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</si>
  <si>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</si>
  <si>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</si>
  <si>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</si>
  <si>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</si>
  <si>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</si>
  <si>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</si>
  <si>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</si>
  <si>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</si>
  <si>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</si>
  <si>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</si>
  <si>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</si>
  <si>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</si>
  <si>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</si>
  <si>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</si>
  <si>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</si>
  <si>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</si>
  <si>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</si>
  <si>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</si>
  <si>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</si>
  <si>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</si>
  <si>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</si>
  <si>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</si>
  <si>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</si>
  <si>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</si>
  <si>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</si>
  <si>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</si>
  <si>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</si>
  <si>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</si>
  <si>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</si>
  <si>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</si>
  <si>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</si>
  <si>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</si>
  <si>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</si>
  <si>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</si>
  <si>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</si>
  <si>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</si>
  <si>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</si>
  <si>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</si>
  <si>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</si>
  <si>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</si>
  <si>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</si>
  <si>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</si>
  <si>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</si>
  <si>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</si>
  <si>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</si>
  <si>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</si>
  <si>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</si>
  <si>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</si>
  <si>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</si>
  <si>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</si>
  <si>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</si>
  <si>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</si>
  <si>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</si>
  <si>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</si>
  <si>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</si>
  <si>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</si>
  <si>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</si>
  <si>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</si>
  <si>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</si>
  <si>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</si>
  <si>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</si>
  <si>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</si>
  <si>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</si>
  <si>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</si>
  <si>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</si>
  <si>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</si>
  <si>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</si>
  <si>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</si>
  <si>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</si>
  <si>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</si>
  <si>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</si>
  <si>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</si>
  <si>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</si>
  <si>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</si>
  <si>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</si>
  <si>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</si>
  <si>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</si>
  <si>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</si>
  <si>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</si>
  <si>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</si>
  <si>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</si>
  <si>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</si>
  <si>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</si>
  <si>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</si>
  <si>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</si>
  <si>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</si>
  <si>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</si>
  <si>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</si>
  <si>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</si>
  <si>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</si>
  <si>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</si>
  <si>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</si>
  <si>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</si>
  <si>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</si>
  <si>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</si>
  <si>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</si>
  <si>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</si>
  <si>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</si>
  <si>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</si>
  <si>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</si>
  <si>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</si>
  <si>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</si>
  <si>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</si>
  <si>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</si>
  <si>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</si>
  <si>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</si>
  <si>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</si>
  <si>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</si>
  <si>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</si>
  <si>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</si>
  <si>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</si>
  <si>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</si>
  <si>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</si>
  <si>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</si>
  <si>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</si>
  <si>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</si>
  <si>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</si>
  <si>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</si>
  <si>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</si>
  <si>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</si>
  <si>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</si>
  <si>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</si>
  <si>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</si>
  <si>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</si>
  <si>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</si>
  <si>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</si>
  <si>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</si>
  <si>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</si>
  <si>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</si>
  <si>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</si>
  <si>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</si>
  <si>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</si>
  <si>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</si>
  <si>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</si>
  <si>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</si>
  <si>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</si>
  <si>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</si>
  <si>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</si>
  <si>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</si>
  <si>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</si>
  <si>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</si>
  <si>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</si>
  <si>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</si>
  <si>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</si>
  <si>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</si>
  <si>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</si>
  <si>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</si>
  <si>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</si>
  <si>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</si>
  <si>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</si>
  <si>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</si>
  <si>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</si>
  <si>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</si>
  <si>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</si>
  <si>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</si>
  <si>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</si>
  <si>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</si>
  <si>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</si>
  <si>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</si>
  <si>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</si>
  <si>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</si>
  <si>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</si>
  <si>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</si>
  <si>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</si>
  <si>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</si>
  <si>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</si>
  <si>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</si>
  <si>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</si>
  <si>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</si>
  <si>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</si>
  <si>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</si>
  <si>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</si>
  <si>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</si>
  <si>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</si>
  <si>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</si>
  <si>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</si>
  <si>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</si>
  <si>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</si>
  <si>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</si>
  <si>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</si>
  <si>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</si>
  <si>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</si>
  <si>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</si>
  <si>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</si>
  <si>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</si>
  <si>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</si>
  <si>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</si>
  <si>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</si>
  <si>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</si>
  <si>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</si>
  <si>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</si>
  <si>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</si>
  <si>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</si>
  <si>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</si>
  <si>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</si>
  <si>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</si>
  <si>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</si>
  <si>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</si>
  <si>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</si>
  <si>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</si>
  <si>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</si>
  <si>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</si>
  <si>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</si>
  <si>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</si>
  <si>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</si>
  <si>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</si>
  <si>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</si>
  <si>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</si>
  <si>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</si>
  <si>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</si>
  <si>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</si>
  <si>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</si>
  <si>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</si>
  <si>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</si>
  <si>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</si>
  <si>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</si>
  <si>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</si>
  <si>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</si>
  <si>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</si>
  <si>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</si>
  <si>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</si>
  <si>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</si>
  <si>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</si>
  <si>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</si>
  <si>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</si>
  <si>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</si>
  <si>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</si>
  <si>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</si>
  <si>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</si>
  <si>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</si>
  <si>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</si>
  <si>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</si>
  <si>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</si>
  <si>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</si>
  <si>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</si>
  <si>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</si>
  <si>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</si>
  <si>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</si>
  <si>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</si>
  <si>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</si>
  <si>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</si>
  <si>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</si>
  <si>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</si>
  <si>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</si>
  <si>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</si>
  <si>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</si>
  <si>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</si>
  <si>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</si>
  <si>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</si>
  <si>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</si>
  <si>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</si>
  <si>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</si>
  <si>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</si>
  <si>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</si>
  <si>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</si>
  <si>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</si>
  <si>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</si>
  <si>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</si>
  <si>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</si>
  <si>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</si>
  <si>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</si>
  <si>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</si>
  <si>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</si>
  <si>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</si>
  <si>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Convencional</t>
  </si>
  <si>
    <t>CATIVO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</si>
  <si>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</si>
  <si>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</si>
  <si>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</si>
  <si>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</si>
  <si>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</si>
  <si>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B2</t>
  </si>
  <si>
    <t>Poder público</t>
  </si>
  <si>
    <t>B4</t>
  </si>
  <si>
    <t>Iluminação pública</t>
  </si>
  <si>
    <t>Iluminação pública – B4a</t>
  </si>
  <si>
    <t>IRRIG./AQUIC.</t>
  </si>
  <si>
    <t>IRRIG./AQUIC. PR</t>
  </si>
  <si>
    <t>Aquicultura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</si>
  <si>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</si>
  <si>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</si>
  <si>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</si>
  <si>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</si>
  <si>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</si>
  <si>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</si>
  <si>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</si>
  <si>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</si>
  <si>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</si>
  <si>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</si>
  <si>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</si>
  <si>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</si>
  <si>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</si>
  <si>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 xml:space="preserve">Hélvio Neves Guerra </t>
  </si>
  <si>
    <t>48500.004970/2021-11</t>
  </si>
  <si>
    <t>DSP 1959/2022</t>
  </si>
  <si>
    <t>EUSD</t>
  </si>
  <si>
    <t>COOPERATIVA DE DISTRIBUIÇÃO DE ENERGIA ELÉTRICA SALTO DONNER</t>
  </si>
  <si>
    <t>A4 (2,3 a 25 kV)</t>
  </si>
  <si>
    <t>01-20217418327476-37</t>
  </si>
  <si>
    <t>01-20217513095482-40</t>
  </si>
  <si>
    <t>01-20217663039735-73</t>
  </si>
  <si>
    <t>01-20217820470853-4</t>
  </si>
  <si>
    <t>01-20217907499793-15</t>
  </si>
  <si>
    <t>01-20218171455933-20</t>
  </si>
  <si>
    <t>01-20228356617228-73</t>
  </si>
  <si>
    <t>01-20228483466715-89</t>
  </si>
  <si>
    <t>01-20228640270375-50</t>
  </si>
  <si>
    <t>01-20228723188799-16</t>
  </si>
  <si>
    <t>01-20228888328483-54</t>
  </si>
  <si>
    <t>01-20229025731509-15</t>
  </si>
  <si>
    <t>01-20229166328469-50</t>
  </si>
  <si>
    <t>20217306962180-5</t>
  </si>
  <si>
    <t>Geradora Cersad</t>
  </si>
  <si>
    <t>2173/2021</t>
  </si>
  <si>
    <t>Carta 08/2022 de 31/08/22</t>
  </si>
  <si>
    <t>DSP 2368/2022</t>
  </si>
  <si>
    <t>Reversão 2021</t>
  </si>
  <si>
    <t>Diferimento 2022</t>
  </si>
  <si>
    <t>Diferimento total</t>
  </si>
  <si>
    <t>Diferimento de Parcela B</t>
  </si>
  <si>
    <t>Diferimento de Energia</t>
  </si>
  <si>
    <t>Repasse de ICMS</t>
  </si>
  <si>
    <t>Diferimento de PIS COFINS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</si>
  <si>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</si>
  <si>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</si>
  <si>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</si>
  <si>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</si>
  <si>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</si>
  <si>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PIS-COFINS 2021</t>
  </si>
  <si>
    <t>Subvenção Baixa Densidade Carga</t>
  </si>
  <si>
    <t>01-20229309989104-98</t>
  </si>
  <si>
    <t>Diferimento CUSD</t>
  </si>
  <si>
    <t>Diferimento Previsão do Risco Hidrológico</t>
  </si>
  <si>
    <t xml:space="preserve">Diferimento Transporte - Uso do Sistema de Distribuição 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</si>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</sst>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9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_);_(* \(#,##0\);_(* &quot;-&quot;_);_(@_)"/>
    <numFmt numFmtId="166" formatCode="_(&quot;R$ &quot;* #,##0.00_);_(&quot;R$ &quot;* \(#,##0.00\);_(&quot;R$ &quot;* &quot;-&quot;??_);_(@_)"/>
    <numFmt numFmtId="167" formatCode="_(* #,##0.00_);_(* \(#,##0.00\);_(* &quot;-&quot;??_);_(@_)"/>
    <numFmt numFmtId="168" formatCode="&quot;$&quot;#,##0_);[Red]\(&quot;$&quot;#,##0\)"/>
    <numFmt numFmtId="169" formatCode="_(* #,##0_);_(* \(#,##0\);_(* &quot;-&quot;??_);_(@_)"/>
    <numFmt numFmtId="170" formatCode="[$-416]mmm\-yy;@"/>
    <numFmt numFmtId="171" formatCode="_(* #,##0.0000_);_(* \(#,##0.0000\);_(* &quot;-&quot;??_);_(@_)"/>
    <numFmt numFmtId="172" formatCode="0.0000"/>
    <numFmt numFmtId="173" formatCode="0.000"/>
    <numFmt numFmtId="174" formatCode="#,##0.0_);\(#,##0.0\)"/>
    <numFmt numFmtId="175" formatCode="#,##0.000"/>
    <numFmt numFmtId="176" formatCode="m\-d\-\y\y"/>
    <numFmt numFmtId="177" formatCode="General_)"/>
    <numFmt numFmtId="178" formatCode="#\ ###\ ###\ ##0\ "/>
    <numFmt numFmtId="179" formatCode="yyyy"/>
    <numFmt numFmtId="180" formatCode="&quot;\&quot;#,##0.00;[Red]&quot;\&quot;\-#,##0.00"/>
    <numFmt numFmtId="181" formatCode="&quot;$&quot;#,##0\ ;\(&quot;$&quot;#,##0\)"/>
    <numFmt numFmtId="182" formatCode="\U\S\$#,##0.00;\(\U\S\$#,##0.00\)"/>
    <numFmt numFmtId="183" formatCode="_([$€]* #,##0.00_);_([$€]* \(#,##0.00\);_([$€]* &quot;-&quot;??_);_(@_)"/>
    <numFmt numFmtId="184" formatCode="_-* #,##0.0_-;\-* #,##0.0_-;_-* &quot;-&quot;??_-;_-@_-"/>
    <numFmt numFmtId="185" formatCode="#,#00"/>
    <numFmt numFmtId="186" formatCode="0.0%;_(&quot;-&quot;_)"/>
    <numFmt numFmtId="187" formatCode="\$#,"/>
    <numFmt numFmtId="188" formatCode="0.00_)"/>
    <numFmt numFmtId="189" formatCode="0.00%;\(0.00%\)"/>
    <numFmt numFmtId="190" formatCode="#,##0.00;\(#,##0.00\)"/>
    <numFmt numFmtId="191" formatCode="#,"/>
    <numFmt numFmtId="192" formatCode="#.##000"/>
    <numFmt numFmtId="193" formatCode="#.##0,"/>
    <numFmt numFmtId="194" formatCode="[$-416]mmmm\-yy;@"/>
    <numFmt numFmtId="195" formatCode="_(* #,##0.0000000_);_(* \(#,##0.0000000\);_(* &quot;-&quot;??_);_(@_)"/>
    <numFmt numFmtId="196" formatCode="000"/>
    <numFmt numFmtId="197" formatCode="_-&quot;$&quot;* #,##0_-;\-&quot;$&quot;* #,##0_-;_-&quot;$&quot;* &quot;-&quot;_-;_-@_-"/>
    <numFmt numFmtId="198" formatCode="_-&quot;$&quot;* #,##0.00_-;\-&quot;$&quot;* #,##0.00_-;_-&quot;$&quot;* &quot;-&quot;??_-;_-@_-"/>
    <numFmt numFmtId="199" formatCode="[Blue]General"/>
    <numFmt numFmtId="200" formatCode="#,##0.00&quot; $&quot;;\-#,##0.00&quot; $&quot;"/>
    <numFmt numFmtId="201" formatCode="_ * #,##0.00_ ;_ * \-#,##0.00_ ;_ * &quot;-&quot;??_ ;_ @_ "/>
    <numFmt numFmtId="202" formatCode="_-* #,##0.00\ &quot;kr&quot;_-;\-* #,##0.00\ &quot;kr&quot;_-;_-* &quot;-&quot;??\ &quot;kr&quot;_-;_-@_-"/>
    <numFmt numFmtId="203" formatCode="mm/yy"/>
    <numFmt numFmtId="204" formatCode="dd/mm/yy"/>
    <numFmt numFmtId="205" formatCode="###0;[Blue]\(###0\)"/>
    <numFmt numFmtId="206" formatCode="#,##0;[Blue]\(#,##0\)"/>
    <numFmt numFmtId="207" formatCode="#,##0.0;[Blue]\(#,##0.0\)"/>
    <numFmt numFmtId="208" formatCode="0%;[Red]\(0%\)"/>
    <numFmt numFmtId="209" formatCode="#,##0.0%;[Blue]\(#,##0.0%\)"/>
    <numFmt numFmtId="210" formatCode="0.0%;[Blue]\(0.0%\)"/>
    <numFmt numFmtId="211" formatCode="0.00%;[Red]\(0.00%\)"/>
    <numFmt numFmtId="212" formatCode="#,##0.0_);[Red]\(#,##0.0\)"/>
    <numFmt numFmtId="213" formatCode="&quot;R$&quot;\ #,##0.00"/>
    <numFmt numFmtId="214" formatCode="_(* #,##0.0_);_(* \(#,##0.0\);_(* &quot;-&quot;??_);_(@_)"/>
    <numFmt numFmtId="215" formatCode="_(* #,##0.000_);_(* \(#,##0.000\);_(* &quot;-&quot;??_);_(@_)"/>
    <numFmt numFmtId="216" formatCode="0.0%"/>
    <numFmt numFmtId="217" formatCode="_([$€]\ * #,##0.00_);_([$€]\ * \(#,##0.00\);_([$€]\ * &quot;-&quot;??_);_(@_)"/>
    <numFmt numFmtId="218" formatCode="_(* #,##0_)&quot;MWh&quot;;_(* \(#,##0\)&quot;MWh&quot;;_(* &quot;-&quot;??_)&quot;MWh&quot;;_(@_)"/>
    <numFmt numFmtId="219" formatCode="_([$€-2]* #,##0.00_);_([$€-2]* \(#,##0.00\);_([$€-2]* &quot;-&quot;??_)"/>
    <numFmt numFmtId="220" formatCode="_([$€-2]* #,##0.0000_);_([$€-2]* \(#,##0.0000\);_([$€-2]* &quot;-&quot;??_)"/>
    <numFmt numFmtId="221" formatCode="&quot;$&quot;#,##0_);\(&quot;$&quot;#,##0\)"/>
    <numFmt numFmtId="222" formatCode="_(* #,##0.0_);_(* \(#,##0.0\);_(* &quot;-&quot;?_);_(@_)"/>
    <numFmt numFmtId="223" formatCode="#,##0.00\ &quot;m³/d&quot;"/>
    <numFmt numFmtId="224" formatCode="0.000_)"/>
    <numFmt numFmtId="225" formatCode="#,##0_);[Red]\(#,##0\);"/>
    <numFmt numFmtId="226" formatCode="#,##0.0000_);[Red]\(#,##0.00000\)"/>
    <numFmt numFmtId="227" formatCode="&quot;$&quot;#,##0_);[Red]\(&quot;$&quot;#,##0\);"/>
    <numFmt numFmtId="228" formatCode="_(* #,##0.00_);_(* \(#,##0.00\);_(* \-??_);_(@_)"/>
    <numFmt numFmtId="229" formatCode=";;;"/>
    <numFmt numFmtId="230" formatCode="#,##0.00\ &quot;Pts&quot;;\-#,##0.00\ &quot;Pts&quot;"/>
    <numFmt numFmtId="231" formatCode="0.00000000"/>
    <numFmt numFmtId="232" formatCode="#,##0.00&quot;F&quot;_);\(#,##0.00&quot;F&quot;\)"/>
    <numFmt numFmtId="233" formatCode="0\ 000\ 000\ 000"/>
    <numFmt numFmtId="234" formatCode="#,##0;\(#,##0\)"/>
    <numFmt numFmtId="235" formatCode="_-* #,##0.00\ &quot;Kč&quot;_-;\-* #,##0.00\ &quot;Kč&quot;_-;_-* &quot;-&quot;??\ &quot;Kč&quot;_-;_-@_-"/>
    <numFmt numFmtId="236" formatCode="_ * #,##0_ ;_ * \-#,##0_ ;_ * &quot;-&quot;_ ;_ @_ "/>
    <numFmt numFmtId="237" formatCode="0.0000000000"/>
    <numFmt numFmtId="238" formatCode="_(&quot;N$&quot;* #,##0_);_(&quot;N$&quot;* \(#,##0\);_(&quot;N$&quot;* &quot;-&quot;_);_(@_)"/>
    <numFmt numFmtId="239" formatCode="_(&quot;N$&quot;* #,##0.00_);_(&quot;N$&quot;* \(#,##0.00\);_(&quot;N$&quot;* &quot;-&quot;??_);_(@_)"/>
    <numFmt numFmtId="240" formatCode="&quot;$&quot;#,##0.00_);\(&quot;$&quot;#,##0.00\)"/>
    <numFmt numFmtId="241" formatCode="&quot;$&quot;#,##0.00_);[Red]\(&quot;$&quot;#,##0.00\)"/>
    <numFmt numFmtId="242" formatCode="#,##0.0%;[Red]\(#,##0.0%\)"/>
    <numFmt numFmtId="243" formatCode="0.000000000"/>
    <numFmt numFmtId="244" formatCode="0_)%;[Red]\(0\)%"/>
    <numFmt numFmtId="245" formatCode="0.0\ %;[Red]\(0.0\)%"/>
    <numFmt numFmtId="246" formatCode="0.00\ %;[Red]\(0.00\)%"/>
    <numFmt numFmtId="247" formatCode="_(&quot;$&quot;* #,##0_);_(&quot;$&quot;* \(#,##0\);_(&quot;$&quot;* &quot;-&quot;_);_(@_)"/>
    <numFmt numFmtId="248" formatCode="_(&quot;$&quot;* #,##0.00_);_(&quot;$&quot;* \(#,##0.00\);_(&quot;$&quot;* &quot;-&quot;??_);_(@_)"/>
    <numFmt numFmtId="249" formatCode="%#,#00"/>
    <numFmt numFmtId="250" formatCode="_-* #,##0.00\ _€_-;\-* #,##0.00\ _€_-;_-* &quot;-&quot;??\ _€_-;_-@_-"/>
    <numFmt numFmtId="251" formatCode="0000"/>
    <numFmt numFmtId="252" formatCode="00"/>
    <numFmt numFmtId="253" formatCode="0.0"/>
    <numFmt numFmtId="254" formatCode="_(* #,##0.00000_);_(* \(#,##0.00000\);_(* &quot;-&quot;??_);_(@_)"/>
    <numFmt numFmtId="255" formatCode="_(* #,##0.00_)&quot;MWh&quot;;_(* \(#,##0.00\)&quot;MWh&quot;;_(* &quot;-&quot;??_)&quot;MWh&quot;;_(@_)"/>
    <numFmt numFmtId="256" formatCode="dd\ &quot;de&quot;\ mmmm\ &quot;de&quot;\ yyyy"/>
    <numFmt numFmtId="257" formatCode="mmmm\ &quot;de&quot;\ yyyy"/>
    <numFmt numFmtId="258" formatCode="mmmm/yyyy"/>
    <numFmt numFmtId="259" formatCode="d&quot; de &quot;mmmm&quot; de &quot;yyyy"/>
    <numFmt numFmtId="260" formatCode="#,###.00%"/>
    <numFmt numFmtId="261" formatCode="#,##0.00%"/>
    <numFmt numFmtId="262" formatCode="dd/mm/yy\ hh:mm"/>
    <numFmt numFmtId="263" formatCode="d/m;@"/>
    <numFmt numFmtId="264" formatCode="_-* #,##0.0000_-;\-* #,##0.0000_-;_-* &quot;-&quot;??_-;_-@_-"/>
    <numFmt numFmtId="265" formatCode="_-* #,##0.00000_-;\-* #,##0.00000_-;_-* &quot;-&quot;??_-;_-@_-"/>
    <numFmt numFmtId="266" formatCode="dd\-mmm\-yy"/>
    <numFmt numFmtId="267" formatCode="0.000%"/>
    <numFmt numFmtId="268" formatCode="#,##0.00;\ \(#,##0.00\);;@"/>
    <numFmt numFmtId="269" formatCode="#,##0.00;\ \(#,##0.00\);0.00;@"/>
    <numFmt numFmtId="270" formatCode="#,##0.0000;\ \(#,##0.0000\);0.0000;@"/>
    <numFmt numFmtId="271" formatCode="_(* #,##0.000000_);_(* \(#,##0.000000\);_(* &quot;-&quot;??_);_(@_)"/>
    <numFmt numFmtId="272" formatCode="0.0000%"/>
    <numFmt numFmtId="273" formatCode="_-* #,##0_-;\-* #,##0_-;_-* &quot;-&quot;??_-;_-@_-"/>
    <numFmt numFmtId="274" formatCode="_(&quot;R$ &quot;* #,##0.0000_);_(&quot;R$ &quot;* \(#,##0.0000\);_(&quot;R$ &quot;* &quot;-&quot;??_);_(@_)"/>
    <numFmt numFmtId="275" formatCode="&quot;R$&quot;#,##0.00"/>
    <numFmt numFmtId="276" formatCode="#,##0_ ;[Red]\-#,##0\ "/>
    <numFmt numFmtId="277" formatCode="_(&quot;R$&quot;* #,##0.00_);_(&quot;R$&quot;* \(#,##0.00\);_(&quot;R$&quot;* &quot;-&quot;??_);_(@_)"/>
    <numFmt numFmtId="278" formatCode="[$-409]dd/mm/yyyy"/>
    <numFmt numFmtId="279" formatCode="mmm/yyyy"/>
  </numFmts>
  <fonts count="332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name val="Microsoft New Tai Lue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</fonts>
  <fills count="132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6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7" fontId="61" fillId="0" borderId="0">
      <alignment vertical="top"/>
    </xf>
    <xf numFmtId="178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79" fontId="43" fillId="0" borderId="0" applyFill="0" applyBorder="0" applyAlignment="0"/>
    <xf numFmtId="177" fontId="66" fillId="0" borderId="0" applyFill="0" applyBorder="0" applyAlignment="0"/>
    <xf numFmtId="173" fontId="66" fillId="0" borderId="0" applyFill="0" applyBorder="0" applyAlignment="0"/>
    <xf numFmtId="174" fontId="48" fillId="0" borderId="0" applyFill="0" applyBorder="0" applyAlignment="0"/>
    <xf numFmtId="180" fontId="33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7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7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7" fontId="115" fillId="0" borderId="0" applyFont="0" applyFill="0" applyBorder="0" applyAlignment="0" applyProtection="0"/>
    <xf numFmtId="177" fontId="66" fillId="0" borderId="0" applyFont="0" applyFill="0" applyBorder="0" applyAlignment="0" applyProtection="0"/>
    <xf numFmtId="198" fontId="115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64" fillId="0" borderId="0">
      <protection locked="0"/>
    </xf>
    <xf numFmtId="168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2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3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4" fontId="33" fillId="0" borderId="0">
      <protection locked="0"/>
    </xf>
    <xf numFmtId="185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9" fillId="0" borderId="8" applyNumberFormat="0" applyFill="0" applyAlignment="0" applyProtection="0"/>
    <xf numFmtId="166" fontId="31" fillId="0" borderId="0" applyFont="0" applyFill="0" applyBorder="0" applyAlignment="0" applyProtection="0"/>
    <xf numFmtId="187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8" fontId="91" fillId="0" borderId="0"/>
    <xf numFmtId="189" fontId="92" fillId="0" borderId="0"/>
    <xf numFmtId="190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6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2" fontId="64" fillId="0" borderId="0">
      <protection locked="0"/>
    </xf>
    <xf numFmtId="193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6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7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2" fontId="33" fillId="0" borderId="0"/>
    <xf numFmtId="202" fontId="33" fillId="0" borderId="0"/>
    <xf numFmtId="202" fontId="33" fillId="0" borderId="0"/>
    <xf numFmtId="202" fontId="33" fillId="0" borderId="0"/>
    <xf numFmtId="189" fontId="119" fillId="0" borderId="0"/>
    <xf numFmtId="190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3" fontId="73" fillId="0" borderId="0"/>
    <xf numFmtId="183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9" fontId="33" fillId="0" borderId="0"/>
    <xf numFmtId="0" fontId="121" fillId="0" borderId="0"/>
    <xf numFmtId="0" fontId="33" fillId="0" borderId="0"/>
    <xf numFmtId="0" fontId="30" fillId="0" borderId="0"/>
    <xf numFmtId="169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7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6" fontId="44" fillId="0" borderId="0" applyFont="0" applyFill="0" applyBorder="0" applyAlignment="0" applyProtection="0"/>
    <xf numFmtId="205" fontId="127" fillId="0" borderId="0" applyFill="0" applyBorder="0" applyProtection="0">
      <alignment horizontal="right"/>
      <protection locked="0"/>
    </xf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6" fontId="127" fillId="0" borderId="0" applyFont="0" applyFill="0" applyBorder="0" applyAlignment="0"/>
    <xf numFmtId="207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8" fontId="119" fillId="0" borderId="0" applyFill="0" applyBorder="0" applyProtection="0">
      <alignment horizontal="right"/>
      <protection locked="0"/>
    </xf>
    <xf numFmtId="209" fontId="127" fillId="0" borderId="41" applyFont="0" applyFill="0" applyBorder="0" applyAlignment="0"/>
    <xf numFmtId="210" fontId="127" fillId="0" borderId="0" applyFill="0" applyBorder="0" applyProtection="0">
      <alignment horizontal="right"/>
      <protection locked="0"/>
    </xf>
    <xf numFmtId="211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7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8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6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2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12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6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7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6" fontId="27" fillId="0" borderId="0" applyFont="0" applyFill="0" applyBorder="0" applyAlignment="0" applyProtection="0"/>
    <xf numFmtId="0" fontId="89" fillId="31" borderId="0" applyNumberFormat="0" applyBorder="0" applyAlignment="0" applyProtection="0"/>
    <xf numFmtId="189" fontId="119" fillId="0" borderId="0"/>
    <xf numFmtId="189" fontId="119" fillId="0" borderId="0"/>
    <xf numFmtId="190" fontId="119" fillId="0" borderId="0"/>
    <xf numFmtId="190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7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6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09" fontId="127" fillId="0" borderId="56" applyFont="0" applyFill="0" applyBorder="0" applyAlignment="0"/>
    <xf numFmtId="166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6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09" fontId="127" fillId="0" borderId="62" applyFont="0" applyFill="0" applyBorder="0" applyAlignment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6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09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6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09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6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09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09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09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6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6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6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6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09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8" fontId="92" fillId="0" borderId="0" applyFill="0" applyBorder="0" applyProtection="0">
      <alignment horizontal="right"/>
      <protection locked="0"/>
    </xf>
    <xf numFmtId="211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6" fontId="3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86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09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09" fontId="127" fillId="0" borderId="85" applyFont="0" applyFill="0" applyBorder="0" applyAlignment="0"/>
    <xf numFmtId="209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6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1" fontId="64" fillId="0" borderId="0">
      <protection locked="0"/>
    </xf>
    <xf numFmtId="191" fontId="64" fillId="0" borderId="0">
      <protection locked="0"/>
    </xf>
    <xf numFmtId="191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3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3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6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3" fontId="33" fillId="0" borderId="0"/>
    <xf numFmtId="180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7" fontId="158" fillId="0" borderId="0">
      <alignment horizontal="right"/>
    </xf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21" fontId="122" fillId="0" borderId="63" applyAlignment="0" applyProtection="0"/>
    <xf numFmtId="220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219" fontId="67" fillId="26" borderId="93" applyNumberFormat="0" applyAlignment="0" applyProtection="0"/>
    <xf numFmtId="220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22" fontId="33" fillId="0" borderId="0" applyFont="0" applyFill="0" applyBorder="0" applyAlignment="0" applyProtection="0"/>
    <xf numFmtId="223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4" fontId="161" fillId="0" borderId="0"/>
    <xf numFmtId="224" fontId="161" fillId="0" borderId="0"/>
    <xf numFmtId="212" fontId="127" fillId="0" borderId="0" applyFill="0" applyBorder="0" applyAlignment="0" applyProtection="0"/>
    <xf numFmtId="40" fontId="127" fillId="0" borderId="0" applyFill="0" applyBorder="0" applyAlignment="0" applyProtection="0"/>
    <xf numFmtId="225" fontId="127" fillId="82" borderId="0" applyFill="0" applyBorder="0" applyAlignment="0">
      <alignment vertical="top"/>
    </xf>
    <xf numFmtId="226" fontId="127" fillId="0" borderId="0" applyFill="0" applyBorder="0" applyAlignment="0" applyProtection="0"/>
    <xf numFmtId="179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5" fontId="38" fillId="0" borderId="0" applyProtection="0"/>
    <xf numFmtId="222" fontId="38" fillId="0" borderId="0" applyProtection="0"/>
    <xf numFmtId="167" fontId="38" fillId="0" borderId="0" applyProtection="0"/>
    <xf numFmtId="165" fontId="86" fillId="0" borderId="0" applyProtection="0"/>
    <xf numFmtId="222" fontId="86" fillId="0" borderId="0" applyProtection="0"/>
    <xf numFmtId="167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7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1" fontId="72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2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3" fontId="33" fillId="0" borderId="0" applyFont="0" applyFill="0" applyBorder="0" applyAlignment="0" applyProtection="0"/>
    <xf numFmtId="219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228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5" fontId="64" fillId="0" borderId="0">
      <protection locked="0"/>
    </xf>
    <xf numFmtId="185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3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229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0" fontId="33" fillId="0" borderId="0" applyNumberFormat="0" applyFill="0" applyBorder="0" applyAlignment="0" applyProtection="0"/>
    <xf numFmtId="230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1" fontId="141" fillId="0" borderId="0"/>
    <xf numFmtId="231" fontId="141" fillId="0" borderId="0"/>
    <xf numFmtId="231" fontId="141" fillId="0" borderId="0"/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4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5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6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87" fontId="64" fillId="0" borderId="0">
      <protection locked="0"/>
    </xf>
    <xf numFmtId="187" fontId="64" fillId="0" borderId="0">
      <protection locked="0"/>
    </xf>
    <xf numFmtId="238" fontId="33" fillId="0" borderId="0" applyFont="0" applyFill="0" applyBorder="0" applyAlignment="0" applyProtection="0"/>
    <xf numFmtId="239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147" fillId="0" borderId="0" applyProtection="0"/>
    <xf numFmtId="240" fontId="147" fillId="0" borderId="0" applyProtection="0"/>
    <xf numFmtId="241" fontId="147" fillId="0" borderId="0" applyProtection="0"/>
    <xf numFmtId="168" fontId="147" fillId="0" borderId="0" applyProtection="0"/>
    <xf numFmtId="240" fontId="147" fillId="0" borderId="0" applyProtection="0"/>
    <xf numFmtId="241" fontId="147" fillId="0" borderId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32" fontId="141" fillId="0" borderId="0"/>
    <xf numFmtId="232" fontId="141" fillId="0" borderId="0"/>
    <xf numFmtId="232" fontId="141" fillId="0" borderId="0"/>
    <xf numFmtId="243" fontId="141" fillId="0" borderId="0">
      <alignment horizontal="right"/>
    </xf>
    <xf numFmtId="243" fontId="141" fillId="0" borderId="0">
      <alignment horizontal="right"/>
    </xf>
    <xf numFmtId="243" fontId="141" fillId="0" borderId="0">
      <alignment horizontal="right"/>
    </xf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0" fontId="31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19" fontId="33" fillId="0" borderId="0"/>
    <xf numFmtId="0" fontId="33" fillId="0" borderId="0"/>
    <xf numFmtId="220" fontId="33" fillId="0" borderId="0"/>
    <xf numFmtId="0" fontId="33" fillId="0" borderId="0"/>
    <xf numFmtId="0" fontId="33" fillId="0" borderId="0"/>
    <xf numFmtId="219" fontId="33" fillId="0" borderId="0"/>
    <xf numFmtId="220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73" fillId="0" borderId="0"/>
    <xf numFmtId="220" fontId="73" fillId="0" borderId="0"/>
    <xf numFmtId="219" fontId="33" fillId="0" borderId="0"/>
    <xf numFmtId="0" fontId="33" fillId="0" borderId="0"/>
    <xf numFmtId="220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183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20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7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4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5" fontId="127" fillId="82" borderId="0" applyFill="0" applyBorder="0" applyAlignment="0" applyProtection="0">
      <alignment vertical="top"/>
    </xf>
    <xf numFmtId="246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10" fontId="72" fillId="0" borderId="0" applyFont="0" applyFill="0" applyBorder="0" applyAlignment="0" applyProtection="0"/>
    <xf numFmtId="249" fontId="64" fillId="0" borderId="0">
      <protection locked="0"/>
    </xf>
    <xf numFmtId="192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0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19" fontId="93" fillId="26" borderId="98" applyNumberFormat="0" applyAlignment="0" applyProtection="0"/>
    <xf numFmtId="220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91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120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5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3" fontId="102" fillId="0" borderId="0" applyNumberFormat="0" applyFill="0" applyBorder="0" applyAlignment="0" applyProtection="0"/>
    <xf numFmtId="219" fontId="104" fillId="0" borderId="25" applyNumberFormat="0" applyFill="0" applyAlignment="0" applyProtection="0"/>
    <xf numFmtId="220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5" fillId="0" borderId="26" applyNumberFormat="0" applyFill="0" applyAlignment="0" applyProtection="0"/>
    <xf numFmtId="220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191" fontId="165" fillId="0" borderId="0">
      <protection locked="0"/>
    </xf>
    <xf numFmtId="191" fontId="165" fillId="0" borderId="0">
      <protection locked="0"/>
    </xf>
    <xf numFmtId="0" fontId="33" fillId="91" borderId="0"/>
    <xf numFmtId="0" fontId="184" fillId="26" borderId="10"/>
    <xf numFmtId="177" fontId="197" fillId="0" borderId="0">
      <alignment horizontal="left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2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88" fontId="147" fillId="0" borderId="0" applyFont="0" applyFill="0" applyBorder="0" applyAlignment="0" applyProtection="0"/>
    <xf numFmtId="188" fontId="147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4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09" fontId="127" fillId="0" borderId="110" applyFont="0" applyFill="0" applyBorder="0" applyAlignment="0"/>
    <xf numFmtId="209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7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5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7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6" fontId="44" fillId="41" borderId="0" xfId="907" applyNumberFormat="1" applyFont="1" applyFill="1"/>
    <xf numFmtId="166" fontId="138" fillId="41" borderId="0" xfId="1033" applyFont="1" applyFill="1" applyBorder="1"/>
    <xf numFmtId="166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6" fontId="44" fillId="41" borderId="0" xfId="815" applyFont="1" applyFill="1" applyBorder="1" applyAlignment="1" applyProtection="1"/>
    <xf numFmtId="166" fontId="39" fillId="41" borderId="0" xfId="907" applyNumberFormat="1" applyFont="1" applyFill="1" applyProtection="1">
      <protection hidden="1"/>
    </xf>
    <xf numFmtId="166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6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6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6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6" fontId="111" fillId="41" borderId="0" xfId="815" applyFont="1" applyFill="1" applyBorder="1"/>
    <xf numFmtId="216" fontId="44" fillId="33" borderId="0" xfId="1095" applyNumberFormat="1" applyFont="1" applyFill="1" applyBorder="1" applyAlignment="1">
      <alignment horizontal="center"/>
    </xf>
    <xf numFmtId="166" fontId="44" fillId="33" borderId="0" xfId="815" applyFont="1" applyFill="1" applyBorder="1"/>
    <xf numFmtId="216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6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6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1" fontId="33" fillId="0" borderId="0" xfId="863" applyNumberFormat="1" applyFont="1"/>
    <xf numFmtId="254" fontId="33" fillId="0" borderId="0" xfId="863" applyNumberFormat="1" applyFont="1"/>
    <xf numFmtId="0" fontId="206" fillId="0" borderId="0" xfId="0" applyFont="1"/>
    <xf numFmtId="167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6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6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3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7" fontId="206" fillId="45" borderId="0" xfId="863" applyFont="1" applyFill="1" applyBorder="1"/>
    <xf numFmtId="167" fontId="206" fillId="41" borderId="0" xfId="863" applyFont="1" applyFill="1" applyBorder="1"/>
    <xf numFmtId="167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7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7" fontId="206" fillId="41" borderId="0" xfId="43185" applyNumberFormat="1" applyFont="1" applyFill="1" applyBorder="1" applyAlignment="1" applyProtection="1">
      <alignment horizontal="right"/>
      <protection locked="0"/>
    </xf>
    <xf numFmtId="166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4" fontId="206" fillId="0" borderId="0" xfId="43184" applyFont="1" applyBorder="1"/>
    <xf numFmtId="43" fontId="206" fillId="0" borderId="0" xfId="2697" applyNumberFormat="1" applyFont="1"/>
    <xf numFmtId="164" fontId="206" fillId="0" borderId="0" xfId="2697" applyNumberFormat="1" applyFont="1"/>
    <xf numFmtId="164" fontId="210" fillId="0" borderId="0" xfId="2697" applyNumberFormat="1" applyFont="1"/>
    <xf numFmtId="166" fontId="206" fillId="0" borderId="0" xfId="815" applyFont="1"/>
    <xf numFmtId="166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6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4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6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4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69" fontId="206" fillId="0" borderId="0" xfId="863" applyNumberFormat="1" applyFont="1" applyBorder="1"/>
    <xf numFmtId="43" fontId="206" fillId="57" borderId="0" xfId="863" applyNumberFormat="1" applyFont="1" applyFill="1" applyBorder="1"/>
    <xf numFmtId="166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5" fontId="209" fillId="0" borderId="0" xfId="907" applyNumberFormat="1" applyFont="1"/>
    <xf numFmtId="167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7" fontId="206" fillId="0" borderId="0" xfId="863" applyFont="1" applyBorder="1"/>
    <xf numFmtId="43" fontId="206" fillId="0" borderId="0" xfId="0" applyNumberFormat="1" applyFont="1"/>
    <xf numFmtId="164" fontId="206" fillId="0" borderId="0" xfId="0" applyNumberFormat="1" applyFont="1"/>
    <xf numFmtId="166" fontId="206" fillId="0" borderId="0" xfId="0" applyNumberFormat="1" applyFont="1"/>
    <xf numFmtId="0" fontId="206" fillId="0" borderId="0" xfId="907" applyFont="1" applyAlignment="1">
      <alignment horizontal="left" indent="2"/>
    </xf>
    <xf numFmtId="218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7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69" fontId="206" fillId="33" borderId="0" xfId="863" applyNumberFormat="1" applyFont="1" applyFill="1" applyAlignment="1">
      <alignment vertical="center"/>
    </xf>
    <xf numFmtId="169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5" fontId="206" fillId="0" borderId="0" xfId="863" applyNumberFormat="1" applyFont="1" applyFill="1" applyBorder="1" applyAlignment="1">
      <alignment vertical="center"/>
    </xf>
    <xf numFmtId="167" fontId="209" fillId="33" borderId="0" xfId="831" applyNumberFormat="1" applyFont="1" applyFill="1" applyAlignment="1">
      <alignment vertical="center"/>
    </xf>
    <xf numFmtId="169" fontId="209" fillId="33" borderId="0" xfId="863" applyNumberFormat="1" applyFont="1" applyFill="1" applyBorder="1" applyAlignment="1">
      <alignment vertical="center"/>
    </xf>
    <xf numFmtId="167" fontId="209" fillId="33" borderId="0" xfId="863" applyFont="1" applyFill="1" applyBorder="1" applyAlignment="1">
      <alignment vertical="center"/>
    </xf>
    <xf numFmtId="175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69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69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7" fontId="209" fillId="41" borderId="0" xfId="863" applyFont="1" applyFill="1" applyBorder="1"/>
    <xf numFmtId="167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69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7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7" fontId="209" fillId="54" borderId="0" xfId="903" applyFont="1" applyFill="1" applyBorder="1" applyAlignment="1">
      <alignment horizontal="right"/>
    </xf>
    <xf numFmtId="167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6" fontId="206" fillId="0" borderId="0" xfId="815" applyFont="1" applyFill="1"/>
    <xf numFmtId="167" fontId="206" fillId="54" borderId="0" xfId="903" applyFont="1" applyFill="1" applyBorder="1" applyAlignment="1">
      <alignment horizontal="left" vertical="top"/>
    </xf>
    <xf numFmtId="214" fontId="206" fillId="54" borderId="0" xfId="903" applyNumberFormat="1" applyFont="1" applyFill="1" applyBorder="1" applyAlignment="1">
      <alignment horizontal="right"/>
    </xf>
    <xf numFmtId="167" fontId="206" fillId="41" borderId="0" xfId="903" applyFont="1" applyFill="1" applyBorder="1" applyAlignment="1">
      <alignment horizontal="left" vertical="top" wrapText="1"/>
    </xf>
    <xf numFmtId="166" fontId="206" fillId="0" borderId="0" xfId="815" applyFont="1" applyFill="1" applyBorder="1" applyAlignment="1">
      <alignment horizontal="right"/>
    </xf>
    <xf numFmtId="166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6" fontId="206" fillId="0" borderId="0" xfId="815" applyFont="1" applyAlignment="1">
      <alignment vertical="center"/>
    </xf>
    <xf numFmtId="166" fontId="206" fillId="41" borderId="20" xfId="815" applyFont="1" applyFill="1" applyBorder="1"/>
    <xf numFmtId="196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7" fontId="206" fillId="41" borderId="0" xfId="863" applyFont="1" applyFill="1"/>
    <xf numFmtId="167" fontId="206" fillId="41" borderId="0" xfId="863" applyFont="1" applyFill="1" applyAlignment="1">
      <alignment vertical="center"/>
    </xf>
    <xf numFmtId="166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6" fontId="206" fillId="0" borderId="20" xfId="815" applyFont="1" applyBorder="1"/>
    <xf numFmtId="166" fontId="206" fillId="0" borderId="20" xfId="815" applyFont="1" applyFill="1" applyBorder="1"/>
    <xf numFmtId="166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4" fontId="206" fillId="46" borderId="0" xfId="2697" applyNumberFormat="1" applyFont="1" applyFill="1"/>
    <xf numFmtId="167" fontId="0" fillId="0" borderId="0" xfId="863" applyFont="1"/>
    <xf numFmtId="167" fontId="31" fillId="0" borderId="0" xfId="863" applyFont="1"/>
    <xf numFmtId="167" fontId="232" fillId="0" borderId="0" xfId="863" applyFont="1"/>
    <xf numFmtId="0" fontId="233" fillId="0" borderId="122" xfId="0" applyFont="1" applyBorder="1"/>
    <xf numFmtId="167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7" fontId="233" fillId="62" borderId="122" xfId="863" applyFont="1" applyFill="1" applyBorder="1"/>
    <xf numFmtId="14" fontId="233" fillId="62" borderId="122" xfId="0" applyNumberFormat="1" applyFont="1" applyFill="1" applyBorder="1"/>
    <xf numFmtId="167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7" fontId="234" fillId="0" borderId="0" xfId="0" applyNumberFormat="1" applyFont="1"/>
    <xf numFmtId="167" fontId="0" fillId="0" borderId="0" xfId="863" applyFont="1" applyBorder="1"/>
    <xf numFmtId="10" fontId="0" fillId="0" borderId="0" xfId="847" applyNumberFormat="1" applyFont="1"/>
    <xf numFmtId="257" fontId="206" fillId="0" borderId="0" xfId="847" applyNumberFormat="1" applyFont="1" applyAlignment="1">
      <alignment horizontal="left"/>
    </xf>
    <xf numFmtId="256" fontId="206" fillId="0" borderId="0" xfId="847" applyNumberFormat="1" applyFont="1" applyAlignment="1">
      <alignment horizontal="left"/>
    </xf>
    <xf numFmtId="169" fontId="206" fillId="0" borderId="0" xfId="863" applyNumberFormat="1" applyFont="1" applyAlignment="1">
      <alignment horizontal="left" vertical="top"/>
    </xf>
    <xf numFmtId="169" fontId="206" fillId="41" borderId="0" xfId="863" applyNumberFormat="1" applyFont="1" applyFill="1" applyBorder="1" applyAlignment="1">
      <alignment horizontal="right"/>
    </xf>
    <xf numFmtId="261" fontId="206" fillId="0" borderId="0" xfId="847" applyNumberFormat="1" applyFont="1" applyBorder="1"/>
    <xf numFmtId="261" fontId="206" fillId="0" borderId="0" xfId="847" applyNumberFormat="1" applyFont="1" applyFill="1" applyBorder="1" applyAlignment="1">
      <alignment horizontal="right"/>
    </xf>
    <xf numFmtId="261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2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6" fontId="206" fillId="0" borderId="0" xfId="801" applyNumberFormat="1" applyFont="1" applyBorder="1" applyAlignment="1" applyProtection="1"/>
    <xf numFmtId="166" fontId="206" fillId="0" borderId="0" xfId="815" applyFont="1" applyFill="1" applyBorder="1" applyAlignment="1">
      <alignment horizontal="right" indent="2"/>
    </xf>
    <xf numFmtId="166" fontId="206" fillId="0" borderId="0" xfId="815" applyFont="1" applyFill="1" applyBorder="1" applyAlignment="1">
      <alignment horizontal="right" indent="5"/>
    </xf>
    <xf numFmtId="166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0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6" fontId="209" fillId="0" borderId="0" xfId="0" applyNumberFormat="1" applyFont="1"/>
    <xf numFmtId="0" fontId="31" fillId="0" borderId="0" xfId="907"/>
    <xf numFmtId="170" fontId="31" fillId="0" borderId="10" xfId="907" applyNumberFormat="1" applyBorder="1" applyAlignment="1">
      <alignment horizontal="center"/>
    </xf>
    <xf numFmtId="167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6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7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6" fontId="34" fillId="0" borderId="0" xfId="815" applyFont="1" applyFill="1" applyBorder="1"/>
    <xf numFmtId="170" fontId="34" fillId="0" borderId="0" xfId="907" applyNumberFormat="1" applyFont="1"/>
    <xf numFmtId="0" fontId="147" fillId="41" borderId="0" xfId="907" applyFont="1" applyFill="1"/>
    <xf numFmtId="167" fontId="117" fillId="0" borderId="0" xfId="863" applyFont="1"/>
    <xf numFmtId="167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6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6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6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6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69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6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6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7" fontId="206" fillId="0" borderId="0" xfId="863" applyFont="1" applyFill="1" applyBorder="1" applyAlignment="1"/>
    <xf numFmtId="167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3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3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69" fontId="39" fillId="55" borderId="137" xfId="863" applyNumberFormat="1" applyFont="1" applyFill="1" applyBorder="1" applyAlignment="1">
      <alignment horizontal="center" vertical="center"/>
    </xf>
    <xf numFmtId="169" fontId="39" fillId="55" borderId="138" xfId="863" applyNumberFormat="1" applyFont="1" applyFill="1" applyBorder="1" applyAlignment="1">
      <alignment horizontal="center" vertical="center"/>
    </xf>
    <xf numFmtId="169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7" fontId="209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69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6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7" fontId="44" fillId="41" borderId="0" xfId="863" applyFont="1" applyFill="1" applyBorder="1" applyAlignment="1">
      <alignment horizontal="right"/>
    </xf>
    <xf numFmtId="0" fontId="221" fillId="0" borderId="0" xfId="0" applyFont="1"/>
    <xf numFmtId="167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7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0" fontId="251" fillId="0" borderId="0" xfId="1095" applyNumberFormat="1" applyFont="1" applyBorder="1" applyAlignment="1">
      <alignment horizontal="right" vertical="center"/>
    </xf>
    <xf numFmtId="166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7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7" fontId="251" fillId="0" borderId="0" xfId="43165" applyFont="1" applyAlignment="1"/>
    <xf numFmtId="167" fontId="251" fillId="0" borderId="0" xfId="43165" applyFont="1" applyAlignment="1">
      <alignment horizontal="left" vertical="center"/>
    </xf>
    <xf numFmtId="167" fontId="252" fillId="0" borderId="0" xfId="43165" applyFont="1" applyAlignment="1"/>
    <xf numFmtId="167" fontId="252" fillId="0" borderId="0" xfId="43165" applyFont="1" applyAlignment="1">
      <alignment horizontal="center"/>
    </xf>
    <xf numFmtId="164" fontId="206" fillId="0" borderId="0" xfId="815" applyNumberFormat="1" applyFont="1" applyBorder="1"/>
    <xf numFmtId="164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0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7" fontId="251" fillId="0" borderId="0" xfId="43165" applyFont="1" applyFill="1" applyBorder="1" applyAlignment="1">
      <alignment horizontal="center"/>
    </xf>
    <xf numFmtId="167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7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6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7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7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59" fontId="31" fillId="0" borderId="0" xfId="0" applyNumberFormat="1" applyFont="1"/>
    <xf numFmtId="167" fontId="31" fillId="0" borderId="0" xfId="863" applyFont="1" applyFill="1"/>
    <xf numFmtId="170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7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7" fontId="31" fillId="61" borderId="0" xfId="863" applyFont="1" applyFill="1"/>
    <xf numFmtId="167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7" fontId="206" fillId="109" borderId="0" xfId="863" applyFont="1" applyFill="1" applyBorder="1"/>
    <xf numFmtId="167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7" fontId="238" fillId="0" borderId="0" xfId="863" applyFont="1" applyFill="1" applyBorder="1" applyAlignment="1">
      <alignment horizontal="right" vertical="center" wrapText="1"/>
    </xf>
    <xf numFmtId="167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3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6" fontId="44" fillId="0" borderId="0" xfId="815" applyFont="1" applyFill="1" applyBorder="1" applyAlignment="1">
      <alignment horizontal="left"/>
    </xf>
    <xf numFmtId="166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6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29" fontId="31" fillId="109" borderId="0" xfId="863" applyNumberFormat="1" applyFont="1" applyFill="1" applyBorder="1" applyAlignment="1">
      <alignment horizontal="left"/>
    </xf>
    <xf numFmtId="229" fontId="31" fillId="109" borderId="0" xfId="0" applyNumberFormat="1" applyFont="1" applyFill="1"/>
    <xf numFmtId="229" fontId="31" fillId="109" borderId="0" xfId="0" applyNumberFormat="1" applyFont="1" applyFill="1" applyAlignment="1">
      <alignment horizontal="left"/>
    </xf>
    <xf numFmtId="229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4" fontId="31" fillId="0" borderId="0" xfId="863" applyNumberFormat="1" applyFont="1" applyFill="1" applyBorder="1"/>
    <xf numFmtId="167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7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7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7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0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4" fontId="31" fillId="0" borderId="0" xfId="0" applyNumberFormat="1" applyFont="1"/>
    <xf numFmtId="167" fontId="31" fillId="0" borderId="0" xfId="863" applyFont="1" applyFill="1" applyBorder="1" applyAlignment="1"/>
    <xf numFmtId="169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2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59" fontId="31" fillId="109" borderId="0" xfId="0" applyNumberFormat="1" applyFont="1" applyFill="1"/>
    <xf numFmtId="256" fontId="31" fillId="109" borderId="0" xfId="863" applyNumberFormat="1" applyFont="1" applyFill="1" applyBorder="1" applyAlignment="1">
      <alignment horizontal="left"/>
    </xf>
    <xf numFmtId="257" fontId="31" fillId="109" borderId="0" xfId="847" applyNumberFormat="1" applyFont="1" applyFill="1" applyBorder="1" applyAlignment="1">
      <alignment horizontal="left"/>
    </xf>
    <xf numFmtId="258" fontId="31" fillId="109" borderId="0" xfId="0" applyNumberFormat="1" applyFont="1" applyFill="1" applyAlignment="1">
      <alignment horizontal="left"/>
    </xf>
    <xf numFmtId="229" fontId="31" fillId="109" borderId="0" xfId="2697" applyNumberFormat="1" applyFill="1"/>
    <xf numFmtId="256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7" fontId="206" fillId="0" borderId="0" xfId="43185" applyNumberFormat="1" applyFont="1" applyFill="1" applyBorder="1" applyAlignment="1" applyProtection="1">
      <alignment horizontal="right"/>
      <protection locked="0"/>
    </xf>
    <xf numFmtId="167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29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6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6" fontId="39" fillId="0" borderId="0" xfId="815" applyFont="1" applyFill="1" applyBorder="1" applyAlignment="1">
      <alignment horizontal="center" vertical="center" wrapText="1"/>
    </xf>
    <xf numFmtId="166" fontId="44" fillId="0" borderId="0" xfId="815" applyFont="1" applyFill="1" applyBorder="1" applyAlignment="1">
      <alignment wrapText="1"/>
    </xf>
    <xf numFmtId="166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6" fontId="111" fillId="0" borderId="0" xfId="1823" applyNumberFormat="1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1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8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8" fontId="44" fillId="0" borderId="20" xfId="2697" applyNumberFormat="1" applyFont="1" applyBorder="1" applyAlignment="1">
      <alignment vertical="center"/>
    </xf>
    <xf numFmtId="268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8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0" fontId="118" fillId="43" borderId="0" xfId="2697" applyNumberFormat="1" applyFont="1" applyFill="1" applyAlignment="1">
      <alignment horizontal="center" vertical="center" wrapText="1"/>
    </xf>
    <xf numFmtId="170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69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69" fontId="44" fillId="115" borderId="20" xfId="2697" applyNumberFormat="1" applyFont="1" applyFill="1" applyBorder="1" applyAlignment="1">
      <alignment vertical="center"/>
    </xf>
    <xf numFmtId="269" fontId="44" fillId="115" borderId="0" xfId="2697" applyNumberFormat="1" applyFont="1" applyFill="1" applyAlignment="1">
      <alignment vertical="center"/>
    </xf>
    <xf numFmtId="269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7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7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7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6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7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0" fontId="31" fillId="108" borderId="167" xfId="907" applyNumberFormat="1" applyFill="1" applyBorder="1"/>
    <xf numFmtId="170" fontId="31" fillId="108" borderId="170" xfId="907" applyNumberFormat="1" applyFill="1" applyBorder="1"/>
    <xf numFmtId="170" fontId="31" fillId="59" borderId="170" xfId="907" applyNumberFormat="1" applyFill="1" applyBorder="1"/>
    <xf numFmtId="170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0" fontId="31" fillId="108" borderId="172" xfId="907" applyNumberFormat="1" applyFill="1" applyBorder="1"/>
    <xf numFmtId="166" fontId="31" fillId="109" borderId="171" xfId="815" applyFont="1" applyFill="1" applyBorder="1" applyAlignment="1">
      <alignment horizontal="center" vertical="center"/>
    </xf>
    <xf numFmtId="167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7" fontId="209" fillId="41" borderId="178" xfId="863" applyFont="1" applyFill="1" applyBorder="1"/>
    <xf numFmtId="271" fontId="209" fillId="41" borderId="178" xfId="863" applyNumberFormat="1" applyFont="1" applyFill="1" applyBorder="1"/>
    <xf numFmtId="166" fontId="31" fillId="44" borderId="173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7" fontId="209" fillId="41" borderId="178" xfId="0" applyNumberFormat="1" applyFont="1" applyFill="1" applyBorder="1"/>
    <xf numFmtId="166" fontId="31" fillId="44" borderId="179" xfId="815" applyFont="1" applyFill="1" applyBorder="1" applyAlignment="1">
      <alignment horizontal="center" vertical="center"/>
    </xf>
    <xf numFmtId="166" fontId="31" fillId="44" borderId="180" xfId="815" applyFont="1" applyFill="1" applyBorder="1" applyAlignment="1">
      <alignment horizontal="center" vertical="center"/>
    </xf>
    <xf numFmtId="166" fontId="31" fillId="59" borderId="179" xfId="815" applyFont="1" applyFill="1" applyBorder="1" applyAlignment="1">
      <alignment horizontal="center" vertical="center"/>
    </xf>
    <xf numFmtId="166" fontId="31" fillId="59" borderId="173" xfId="815" applyFont="1" applyFill="1" applyBorder="1" applyAlignment="1">
      <alignment horizontal="center" vertical="center"/>
    </xf>
    <xf numFmtId="166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6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6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7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6" fontId="31" fillId="42" borderId="178" xfId="815" applyFont="1" applyFill="1" applyBorder="1" applyAlignment="1">
      <alignment horizontal="left"/>
    </xf>
    <xf numFmtId="167" fontId="44" fillId="0" borderId="0" xfId="0" applyNumberFormat="1" applyFont="1"/>
    <xf numFmtId="0" fontId="31" fillId="0" borderId="0" xfId="0" applyFont="1" applyAlignment="1">
      <alignment horizontal="right"/>
    </xf>
    <xf numFmtId="167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3" fontId="206" fillId="41" borderId="0" xfId="863" applyNumberFormat="1" applyFont="1" applyFill="1" applyBorder="1" applyAlignment="1">
      <alignment horizontal="right"/>
    </xf>
    <xf numFmtId="167" fontId="217" fillId="0" borderId="0" xfId="863" applyFont="1"/>
    <xf numFmtId="167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7" fontId="44" fillId="41" borderId="0" xfId="847" applyNumberFormat="1" applyFont="1" applyFill="1" applyBorder="1"/>
    <xf numFmtId="167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7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7" fontId="31" fillId="61" borderId="144" xfId="863" applyFont="1" applyFill="1" applyBorder="1" applyAlignment="1">
      <alignment horizontal="right"/>
    </xf>
    <xf numFmtId="167" fontId="31" fillId="61" borderId="0" xfId="863" applyFont="1" applyFill="1" applyBorder="1" applyAlignment="1">
      <alignment horizontal="right"/>
    </xf>
    <xf numFmtId="167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4" fontId="0" fillId="0" borderId="0" xfId="0" applyNumberFormat="1"/>
    <xf numFmtId="167" fontId="206" fillId="42" borderId="0" xfId="863" applyFont="1" applyFill="1"/>
    <xf numFmtId="166" fontId="206" fillId="109" borderId="0" xfId="815" applyFont="1" applyFill="1"/>
    <xf numFmtId="167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6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4" fontId="295" fillId="0" borderId="0" xfId="815" applyNumberFormat="1" applyFont="1" applyFill="1" applyBorder="1"/>
    <xf numFmtId="167" fontId="206" fillId="109" borderId="0" xfId="863" applyFont="1" applyFill="1"/>
    <xf numFmtId="0" fontId="294" fillId="0" borderId="20" xfId="907" applyFont="1" applyBorder="1"/>
    <xf numFmtId="216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4" fontId="295" fillId="42" borderId="0" xfId="815" applyNumberFormat="1" applyFont="1" applyFill="1"/>
    <xf numFmtId="167" fontId="209" fillId="0" borderId="0" xfId="863" applyFont="1"/>
    <xf numFmtId="166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6" fontId="206" fillId="109" borderId="0" xfId="815" applyFont="1" applyFill="1" applyBorder="1"/>
    <xf numFmtId="167" fontId="0" fillId="0" borderId="0" xfId="863" applyFont="1" applyFill="1"/>
    <xf numFmtId="167" fontId="0" fillId="109" borderId="0" xfId="863" applyFont="1" applyFill="1"/>
    <xf numFmtId="0" fontId="301" fillId="0" borderId="0" xfId="0" applyFont="1"/>
    <xf numFmtId="167" fontId="31" fillId="109" borderId="178" xfId="863" applyFont="1" applyFill="1" applyBorder="1"/>
    <xf numFmtId="167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6" fontId="31" fillId="109" borderId="183" xfId="815" applyFont="1" applyFill="1" applyBorder="1" applyAlignment="1">
      <alignment horizontal="center" vertical="center"/>
    </xf>
    <xf numFmtId="196" fontId="206" fillId="61" borderId="0" xfId="0" applyNumberFormat="1" applyFont="1" applyFill="1"/>
    <xf numFmtId="170" fontId="206" fillId="61" borderId="0" xfId="0" applyNumberFormat="1" applyFont="1" applyFill="1"/>
    <xf numFmtId="166" fontId="206" fillId="61" borderId="10" xfId="815" applyFont="1" applyFill="1" applyBorder="1"/>
    <xf numFmtId="166" fontId="206" fillId="61" borderId="29" xfId="815" applyFont="1" applyFill="1" applyBorder="1"/>
    <xf numFmtId="166" fontId="206" fillId="61" borderId="20" xfId="815" applyFont="1" applyFill="1" applyBorder="1"/>
    <xf numFmtId="166" fontId="206" fillId="61" borderId="0" xfId="815" applyFont="1" applyFill="1" applyBorder="1"/>
    <xf numFmtId="0" fontId="206" fillId="61" borderId="0" xfId="0" applyFont="1" applyFill="1"/>
    <xf numFmtId="166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4" fontId="44" fillId="41" borderId="0" xfId="863" applyNumberFormat="1" applyFont="1" applyFill="1" applyBorder="1"/>
    <xf numFmtId="4" fontId="206" fillId="0" borderId="0" xfId="0" applyNumberFormat="1" applyFont="1"/>
    <xf numFmtId="170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69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7" fontId="44" fillId="0" borderId="0" xfId="863" applyFont="1" applyFill="1" applyBorder="1"/>
    <xf numFmtId="268" fontId="44" fillId="0" borderId="0" xfId="2697" applyNumberFormat="1" applyFont="1" applyAlignment="1">
      <alignment vertical="center"/>
    </xf>
    <xf numFmtId="270" fontId="44" fillId="0" borderId="0" xfId="2697" applyNumberFormat="1" applyFont="1" applyAlignment="1">
      <alignment vertical="center"/>
    </xf>
    <xf numFmtId="269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3" fontId="251" fillId="115" borderId="0" xfId="0" applyNumberFormat="1" applyFont="1" applyFill="1" applyAlignment="1">
      <alignment vertical="center"/>
    </xf>
    <xf numFmtId="0" fontId="251" fillId="0" borderId="0" xfId="907" applyFont="1"/>
    <xf numFmtId="167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7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69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6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69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6" fontId="252" fillId="60" borderId="178" xfId="43439" applyNumberFormat="1" applyFont="1" applyFill="1" applyBorder="1" applyAlignment="1">
      <alignment vertical="center" wrapText="1"/>
    </xf>
    <xf numFmtId="169" fontId="251" fillId="41" borderId="0" xfId="863" applyNumberFormat="1" applyFont="1" applyFill="1" applyBorder="1" applyAlignment="1">
      <alignment vertical="center"/>
    </xf>
    <xf numFmtId="169" fontId="251" fillId="0" borderId="0" xfId="863" applyNumberFormat="1" applyFont="1" applyFill="1" applyBorder="1" applyAlignment="1">
      <alignment vertical="center" wrapText="1"/>
    </xf>
    <xf numFmtId="169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69" fontId="252" fillId="41" borderId="0" xfId="863" applyNumberFormat="1" applyFont="1" applyFill="1" applyBorder="1" applyAlignment="1">
      <alignment vertical="center"/>
    </xf>
    <xf numFmtId="169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1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3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3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7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3" fontId="251" fillId="0" borderId="0" xfId="0" applyNumberFormat="1" applyFont="1" applyAlignment="1">
      <alignment vertical="center"/>
    </xf>
    <xf numFmtId="278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1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1" fontId="251" fillId="41" borderId="0" xfId="907" applyNumberFormat="1" applyFont="1" applyFill="1"/>
    <xf numFmtId="261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7" fontId="251" fillId="41" borderId="0" xfId="863" applyFont="1" applyFill="1" applyBorder="1" applyAlignment="1">
      <alignment horizontal="center" vertical="center" wrapText="1"/>
    </xf>
    <xf numFmtId="261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7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7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3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7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4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4" fontId="206" fillId="45" borderId="178" xfId="863" applyNumberFormat="1" applyFont="1" applyFill="1" applyBorder="1"/>
    <xf numFmtId="164" fontId="213" fillId="43" borderId="144" xfId="863" applyNumberFormat="1" applyFont="1" applyFill="1" applyBorder="1"/>
    <xf numFmtId="164" fontId="209" fillId="45" borderId="144" xfId="863" applyNumberFormat="1" applyFont="1" applyFill="1" applyBorder="1"/>
    <xf numFmtId="167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7" fontId="206" fillId="45" borderId="166" xfId="863" applyFont="1" applyFill="1" applyBorder="1"/>
    <xf numFmtId="167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0" fontId="31" fillId="0" borderId="152" xfId="863" applyNumberFormat="1" applyFont="1" applyFill="1" applyBorder="1" applyAlignment="1">
      <alignment horizontal="center"/>
    </xf>
    <xf numFmtId="170" fontId="31" fillId="0" borderId="152" xfId="863" applyNumberFormat="1" applyFont="1" applyBorder="1" applyAlignment="1">
      <alignment horizontal="center"/>
    </xf>
    <xf numFmtId="170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69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7" fontId="31" fillId="0" borderId="178" xfId="863" applyFont="1" applyFill="1" applyBorder="1" applyAlignment="1"/>
    <xf numFmtId="167" fontId="31" fillId="44" borderId="178" xfId="863" applyFont="1" applyFill="1" applyBorder="1" applyAlignment="1">
      <alignment horizontal="right"/>
    </xf>
    <xf numFmtId="169" fontId="31" fillId="0" borderId="166" xfId="0" applyNumberFormat="1" applyFont="1" applyBorder="1"/>
    <xf numFmtId="167" fontId="31" fillId="0" borderId="166" xfId="863" applyFont="1" applyFill="1" applyBorder="1" applyAlignment="1"/>
    <xf numFmtId="167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6" fontId="31" fillId="0" borderId="166" xfId="815" applyFont="1" applyFill="1" applyBorder="1" applyAlignment="1">
      <alignment horizontal="left"/>
    </xf>
    <xf numFmtId="166" fontId="31" fillId="0" borderId="178" xfId="815" applyFont="1" applyFill="1" applyBorder="1" applyAlignment="1">
      <alignment horizontal="left"/>
    </xf>
    <xf numFmtId="164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0" fontId="31" fillId="109" borderId="144" xfId="907" applyNumberFormat="1" applyFill="1" applyBorder="1" applyAlignment="1">
      <alignment horizontal="left"/>
    </xf>
    <xf numFmtId="167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7" fontId="31" fillId="109" borderId="144" xfId="863" applyFont="1" applyFill="1" applyBorder="1" applyAlignment="1">
      <alignment horizontal="left"/>
    </xf>
    <xf numFmtId="229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29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29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29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29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6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1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1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6" fontId="209" fillId="59" borderId="149" xfId="0" applyNumberFormat="1" applyFont="1" applyFill="1" applyBorder="1" applyProtection="1">
      <protection hidden="1"/>
    </xf>
    <xf numFmtId="166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1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6" fontId="209" fillId="59" borderId="156" xfId="0" applyNumberFormat="1" applyFont="1" applyFill="1" applyBorder="1" applyProtection="1">
      <protection hidden="1"/>
    </xf>
    <xf numFmtId="166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1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6" fontId="209" fillId="59" borderId="178" xfId="0" applyNumberFormat="1" applyFont="1" applyFill="1" applyBorder="1" applyProtection="1">
      <protection hidden="1"/>
    </xf>
    <xf numFmtId="166" fontId="209" fillId="112" borderId="178" xfId="0" applyNumberFormat="1" applyFont="1" applyFill="1" applyBorder="1" applyProtection="1">
      <protection hidden="1"/>
    </xf>
    <xf numFmtId="261" fontId="209" fillId="59" borderId="156" xfId="847" applyNumberFormat="1" applyFont="1" applyFill="1" applyBorder="1" applyAlignment="1" applyProtection="1">
      <alignment horizontal="center"/>
      <protection hidden="1"/>
    </xf>
    <xf numFmtId="261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6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6" fontId="44" fillId="33" borderId="178" xfId="2697" applyNumberFormat="1" applyFont="1" applyFill="1" applyBorder="1" applyAlignment="1">
      <alignment horizontal="center"/>
    </xf>
    <xf numFmtId="166" fontId="44" fillId="33" borderId="178" xfId="815" applyFont="1" applyFill="1" applyBorder="1"/>
    <xf numFmtId="216" fontId="111" fillId="94" borderId="144" xfId="1823" applyNumberFormat="1" applyFont="1" applyFill="1" applyBorder="1" applyAlignment="1">
      <alignment horizontal="center" vertical="center" wrapText="1"/>
    </xf>
    <xf numFmtId="166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6" fontId="44" fillId="94" borderId="144" xfId="2697" applyNumberFormat="1" applyFont="1" applyFill="1" applyBorder="1" applyAlignment="1">
      <alignment horizontal="center"/>
    </xf>
    <xf numFmtId="170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0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69" fontId="44" fillId="42" borderId="144" xfId="43199" applyNumberFormat="1" applyFont="1" applyFill="1" applyBorder="1" applyAlignment="1">
      <alignment horizontal="center" wrapText="1"/>
    </xf>
    <xf numFmtId="169" fontId="44" fillId="42" borderId="144" xfId="847" applyNumberFormat="1" applyFont="1" applyFill="1" applyBorder="1" applyAlignment="1">
      <alignment horizontal="center" wrapText="1"/>
    </xf>
    <xf numFmtId="169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69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1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1" fontId="252" fillId="59" borderId="144" xfId="905" applyNumberFormat="1" applyFont="1" applyFill="1" applyBorder="1" applyAlignment="1">
      <alignment horizontal="left"/>
    </xf>
    <xf numFmtId="261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1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1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1" fontId="316" fillId="55" borderId="144" xfId="1823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0" fontId="252" fillId="59" borderId="144" xfId="905" applyNumberFormat="1" applyFont="1" applyFill="1" applyBorder="1" applyAlignment="1">
      <alignment horizontal="center" vertical="center" wrapText="1"/>
    </xf>
    <xf numFmtId="171" fontId="252" fillId="59" borderId="144" xfId="43199" applyNumberFormat="1" applyFont="1" applyFill="1" applyBorder="1" applyAlignment="1">
      <alignment vertical="center"/>
    </xf>
    <xf numFmtId="167" fontId="252" fillId="59" borderId="144" xfId="863" applyFont="1" applyFill="1" applyBorder="1" applyAlignment="1">
      <alignment vertical="center"/>
    </xf>
    <xf numFmtId="171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3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69" fontId="209" fillId="41" borderId="186" xfId="43183" applyNumberFormat="1" applyFont="1" applyFill="1" applyBorder="1" applyAlignment="1" applyProtection="1">
      <alignment horizontal="center" vertical="center"/>
    </xf>
    <xf numFmtId="164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6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69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6" fontId="206" fillId="41" borderId="178" xfId="815" applyFont="1" applyFill="1" applyBorder="1"/>
    <xf numFmtId="167" fontId="209" fillId="41" borderId="186" xfId="43185" applyNumberFormat="1" applyFont="1" applyFill="1" applyBorder="1" applyAlignment="1" applyProtection="1">
      <alignment horizontal="right"/>
      <protection locked="0"/>
    </xf>
    <xf numFmtId="164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6" fontId="209" fillId="97" borderId="186" xfId="2697" applyNumberFormat="1" applyFont="1" applyFill="1" applyBorder="1"/>
    <xf numFmtId="0" fontId="231" fillId="0" borderId="186" xfId="2697" applyFont="1" applyBorder="1"/>
    <xf numFmtId="169" fontId="206" fillId="0" borderId="186" xfId="43183" applyNumberFormat="1" applyFont="1" applyFill="1" applyBorder="1" applyAlignment="1">
      <alignment vertical="center" wrapText="1"/>
    </xf>
    <xf numFmtId="169" fontId="209" fillId="41" borderId="186" xfId="43183" applyNumberFormat="1" applyFont="1" applyFill="1" applyBorder="1" applyAlignment="1" applyProtection="1">
      <alignment vertical="center"/>
    </xf>
    <xf numFmtId="164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4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4" fontId="209" fillId="0" borderId="186" xfId="2697" applyNumberFormat="1" applyFont="1" applyBorder="1"/>
    <xf numFmtId="167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4" fontId="206" fillId="0" borderId="191" xfId="43184" applyFont="1" applyBorder="1"/>
    <xf numFmtId="167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4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8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8" fontId="219" fillId="41" borderId="186" xfId="863" applyNumberFormat="1" applyFont="1" applyFill="1" applyBorder="1"/>
    <xf numFmtId="167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3" fontId="209" fillId="0" borderId="178" xfId="0" applyNumberFormat="1" applyFont="1" applyBorder="1"/>
    <xf numFmtId="167" fontId="206" fillId="0" borderId="191" xfId="863" applyFont="1" applyBorder="1"/>
    <xf numFmtId="0" fontId="209" fillId="59" borderId="186" xfId="907" applyFont="1" applyFill="1" applyBorder="1"/>
    <xf numFmtId="169" fontId="209" fillId="59" borderId="186" xfId="907" applyNumberFormat="1" applyFont="1" applyFill="1" applyBorder="1"/>
    <xf numFmtId="167" fontId="209" fillId="59" borderId="186" xfId="863" applyFont="1" applyFill="1" applyBorder="1"/>
    <xf numFmtId="166" fontId="209" fillId="59" borderId="186" xfId="907" applyNumberFormat="1" applyFont="1" applyFill="1" applyBorder="1"/>
    <xf numFmtId="167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7" fontId="209" fillId="97" borderId="186" xfId="0" applyNumberFormat="1" applyFont="1" applyFill="1" applyBorder="1"/>
    <xf numFmtId="271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6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8" fontId="294" fillId="117" borderId="186" xfId="43408" applyNumberFormat="1" applyFont="1" applyFill="1" applyBorder="1"/>
    <xf numFmtId="43" fontId="295" fillId="117" borderId="186" xfId="43408" applyFont="1" applyFill="1" applyBorder="1"/>
    <xf numFmtId="166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69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7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5" fontId="44" fillId="41" borderId="196" xfId="863" applyNumberFormat="1" applyFont="1" applyFill="1" applyBorder="1" applyAlignment="1">
      <alignment vertical="center"/>
    </xf>
    <xf numFmtId="175" fontId="206" fillId="0" borderId="187" xfId="863" applyNumberFormat="1" applyFont="1" applyFill="1" applyBorder="1" applyAlignment="1">
      <alignment vertical="center"/>
    </xf>
    <xf numFmtId="167" fontId="209" fillId="33" borderId="187" xfId="831" applyNumberFormat="1" applyFont="1" applyFill="1" applyBorder="1" applyAlignment="1">
      <alignment vertical="center"/>
    </xf>
    <xf numFmtId="167" fontId="209" fillId="33" borderId="187" xfId="863" applyFont="1" applyFill="1" applyBorder="1" applyAlignment="1">
      <alignment vertical="center"/>
    </xf>
    <xf numFmtId="167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5" fontId="34" fillId="0" borderId="187" xfId="907" applyNumberFormat="1" applyFont="1" applyBorder="1" applyAlignment="1">
      <alignment horizontal="center" vertical="center"/>
    </xf>
    <xf numFmtId="170" fontId="31" fillId="0" borderId="193" xfId="907" applyNumberFormat="1" applyBorder="1" applyAlignment="1">
      <alignment horizontal="center"/>
    </xf>
    <xf numFmtId="167" fontId="0" fillId="9" borderId="193" xfId="863" applyFont="1" applyFill="1" applyBorder="1"/>
    <xf numFmtId="167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7" fontId="31" fillId="0" borderId="187" xfId="863" applyFont="1" applyFill="1" applyBorder="1" applyAlignment="1"/>
    <xf numFmtId="170" fontId="31" fillId="0" borderId="196" xfId="907" applyNumberFormat="1" applyBorder="1" applyAlignment="1">
      <alignment horizontal="center"/>
    </xf>
    <xf numFmtId="167" fontId="0" fillId="9" borderId="196" xfId="863" applyFont="1" applyFill="1" applyBorder="1"/>
    <xf numFmtId="167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69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69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5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6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7" fontId="206" fillId="54" borderId="178" xfId="903" applyFont="1" applyFill="1" applyBorder="1" applyAlignment="1">
      <alignment horizontal="left" vertical="top" wrapText="1"/>
    </xf>
    <xf numFmtId="275" fontId="206" fillId="109" borderId="178" xfId="863" applyNumberFormat="1" applyFont="1" applyFill="1" applyBorder="1" applyAlignment="1">
      <alignment horizontal="right"/>
    </xf>
    <xf numFmtId="167" fontId="206" fillId="54" borderId="191" xfId="903" applyFont="1" applyFill="1" applyBorder="1" applyAlignment="1">
      <alignment horizontal="left" vertical="top"/>
    </xf>
    <xf numFmtId="167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6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6" fontId="206" fillId="109" borderId="191" xfId="815" applyFont="1" applyFill="1" applyBorder="1"/>
    <xf numFmtId="167" fontId="44" fillId="41" borderId="178" xfId="903" applyFont="1" applyFill="1" applyBorder="1" applyAlignment="1">
      <alignment horizontal="left" vertical="top" wrapText="1"/>
    </xf>
    <xf numFmtId="167" fontId="44" fillId="41" borderId="178" xfId="863" applyFont="1" applyFill="1" applyBorder="1" applyAlignment="1">
      <alignment horizontal="right"/>
    </xf>
    <xf numFmtId="167" fontId="206" fillId="41" borderId="178" xfId="903" applyFont="1" applyFill="1" applyBorder="1" applyAlignment="1">
      <alignment horizontal="left" vertical="top" wrapText="1"/>
    </xf>
    <xf numFmtId="166" fontId="206" fillId="41" borderId="178" xfId="815" applyFont="1" applyFill="1" applyBorder="1" applyAlignment="1">
      <alignment horizontal="right"/>
    </xf>
    <xf numFmtId="166" fontId="206" fillId="0" borderId="191" xfId="815" applyFont="1" applyFill="1" applyBorder="1"/>
    <xf numFmtId="167" fontId="111" fillId="41" borderId="178" xfId="903" applyFont="1" applyFill="1" applyBorder="1" applyAlignment="1">
      <alignment horizontal="left" vertical="top" wrapText="1"/>
    </xf>
    <xf numFmtId="166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6" fontId="206" fillId="109" borderId="178" xfId="815" applyFont="1" applyFill="1" applyBorder="1"/>
    <xf numFmtId="166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6" fontId="206" fillId="0" borderId="191" xfId="0" applyNumberFormat="1" applyFont="1" applyBorder="1"/>
    <xf numFmtId="43" fontId="206" fillId="0" borderId="178" xfId="0" applyNumberFormat="1" applyFont="1" applyBorder="1"/>
    <xf numFmtId="166" fontId="206" fillId="0" borderId="178" xfId="0" applyNumberFormat="1" applyFont="1" applyBorder="1"/>
    <xf numFmtId="164" fontId="206" fillId="0" borderId="191" xfId="0" applyNumberFormat="1" applyFont="1" applyBorder="1"/>
    <xf numFmtId="164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6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6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6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6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69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69" fontId="251" fillId="33" borderId="196" xfId="863" applyNumberFormat="1" applyFont="1" applyFill="1" applyBorder="1" applyAlignment="1">
      <alignment vertical="center"/>
    </xf>
    <xf numFmtId="167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8" fontId="44" fillId="0" borderId="189" xfId="2697" applyNumberFormat="1" applyFont="1" applyBorder="1" applyAlignment="1">
      <alignment vertical="center"/>
    </xf>
    <xf numFmtId="167" fontId="44" fillId="0" borderId="193" xfId="863" applyFont="1" applyBorder="1" applyAlignment="1">
      <alignment vertical="center"/>
    </xf>
    <xf numFmtId="268" fontId="44" fillId="0" borderId="193" xfId="2697" applyNumberFormat="1" applyFont="1" applyBorder="1" applyAlignment="1">
      <alignment vertical="center"/>
    </xf>
    <xf numFmtId="167" fontId="44" fillId="0" borderId="196" xfId="863" applyFont="1" applyBorder="1" applyAlignment="1">
      <alignment vertical="center"/>
    </xf>
    <xf numFmtId="268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69" fontId="111" fillId="59" borderId="187" xfId="43183" applyNumberFormat="1" applyFont="1" applyFill="1" applyBorder="1" applyAlignment="1">
      <alignment vertical="center"/>
    </xf>
    <xf numFmtId="269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0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69" fontId="111" fillId="98" borderId="186" xfId="2697" applyNumberFormat="1" applyFont="1" applyFill="1" applyBorder="1" applyAlignment="1">
      <alignment vertical="center"/>
    </xf>
    <xf numFmtId="269" fontId="111" fillId="60" borderId="186" xfId="2697" applyNumberFormat="1" applyFont="1" applyFill="1" applyBorder="1" applyAlignment="1">
      <alignment vertical="center"/>
    </xf>
    <xf numFmtId="270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0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0" fontId="118" fillId="55" borderId="189" xfId="2697" applyNumberFormat="1" applyFont="1" applyFill="1" applyBorder="1" applyAlignment="1">
      <alignment horizontal="center" vertical="center" wrapText="1"/>
    </xf>
    <xf numFmtId="170" fontId="118" fillId="55" borderId="191" xfId="2697" applyNumberFormat="1" applyFont="1" applyFill="1" applyBorder="1" applyAlignment="1">
      <alignment horizontal="center" vertical="center" wrapText="1"/>
    </xf>
    <xf numFmtId="170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4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1" fontId="216" fillId="0" borderId="187" xfId="863" applyNumberFormat="1" applyFont="1" applyFill="1" applyBorder="1" applyAlignment="1">
      <alignment vertical="top"/>
    </xf>
    <xf numFmtId="164" fontId="228" fillId="44" borderId="187" xfId="863" applyNumberFormat="1" applyFont="1" applyFill="1" applyBorder="1" applyAlignment="1">
      <alignment vertical="top"/>
    </xf>
    <xf numFmtId="164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0" fontId="206" fillId="0" borderId="191" xfId="0" applyNumberFormat="1" applyFont="1" applyBorder="1"/>
    <xf numFmtId="170" fontId="206" fillId="0" borderId="178" xfId="0" applyNumberFormat="1" applyFont="1" applyBorder="1"/>
    <xf numFmtId="166" fontId="209" fillId="0" borderId="188" xfId="815" applyFont="1" applyFill="1" applyBorder="1"/>
    <xf numFmtId="166" fontId="209" fillId="0" borderId="192" xfId="815" applyFont="1" applyFill="1" applyBorder="1"/>
    <xf numFmtId="166" fontId="209" fillId="0" borderId="186" xfId="815" applyFont="1" applyFill="1" applyBorder="1"/>
    <xf numFmtId="166" fontId="206" fillId="0" borderId="188" xfId="815" applyFont="1" applyFill="1" applyBorder="1"/>
    <xf numFmtId="166" fontId="206" fillId="0" borderId="192" xfId="815" applyFont="1" applyFill="1" applyBorder="1"/>
    <xf numFmtId="166" fontId="209" fillId="0" borderId="188" xfId="815" applyFont="1" applyBorder="1"/>
    <xf numFmtId="166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6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1" fontId="44" fillId="0" borderId="187" xfId="863" applyNumberFormat="1" applyFont="1" applyBorder="1" applyAlignment="1">
      <alignment horizontal="center"/>
    </xf>
    <xf numFmtId="195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6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3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3" fontId="251" fillId="0" borderId="187" xfId="7308" applyNumberFormat="1" applyFont="1" applyBorder="1"/>
    <xf numFmtId="265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3" fontId="251" fillId="0" borderId="187" xfId="43165" applyNumberFormat="1" applyFont="1" applyBorder="1"/>
    <xf numFmtId="166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6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6" fontId="252" fillId="41" borderId="187" xfId="902" applyFont="1" applyFill="1" applyBorder="1"/>
    <xf numFmtId="0" fontId="251" fillId="0" borderId="201" xfId="7308" applyFont="1" applyBorder="1"/>
    <xf numFmtId="166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6" fontId="259" fillId="42" borderId="187" xfId="902" applyFont="1" applyFill="1" applyBorder="1"/>
    <xf numFmtId="0" fontId="251" fillId="46" borderId="187" xfId="7308" applyFont="1" applyFill="1" applyBorder="1"/>
    <xf numFmtId="264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2" fontId="251" fillId="0" borderId="187" xfId="7308" applyNumberFormat="1" applyFont="1" applyBorder="1"/>
    <xf numFmtId="166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6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317" fillId="0" borderId="0" xfId="0" pivotButton="1" applyFont="1"/>
    <xf numFmtId="0" fontId="317" fillId="0" borderId="0" xfId="0" applyFont="1"/>
    <xf numFmtId="204" fontId="317" fillId="0" borderId="0" xfId="0" applyNumberFormat="1" applyFont="1" applyAlignment="1">
      <alignment horizontal="left"/>
    </xf>
    <xf numFmtId="167" fontId="317" fillId="0" borderId="0" xfId="0" applyNumberFormat="1" applyFont="1"/>
    <xf numFmtId="167" fontId="284" fillId="42" borderId="0" xfId="863" applyFont="1" applyFill="1" applyBorder="1"/>
    <xf numFmtId="166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7" fontId="206" fillId="106" borderId="178" xfId="863" applyFont="1" applyFill="1" applyBorder="1"/>
    <xf numFmtId="167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7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7" fontId="251" fillId="115" borderId="0" xfId="863" applyFont="1" applyFill="1" applyBorder="1" applyAlignment="1">
      <alignment vertical="center"/>
    </xf>
    <xf numFmtId="167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6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7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7" fontId="251" fillId="0" borderId="152" xfId="863" applyFont="1" applyBorder="1" applyAlignment="1">
      <alignment vertical="center"/>
    </xf>
    <xf numFmtId="271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3" fontId="251" fillId="0" borderId="0" xfId="0" applyNumberFormat="1" applyFont="1" applyAlignment="1">
      <alignment horizontal="center"/>
    </xf>
    <xf numFmtId="213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3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6" fontId="251" fillId="0" borderId="0" xfId="815" applyFont="1"/>
    <xf numFmtId="166" fontId="251" fillId="59" borderId="144" xfId="815" applyFont="1" applyFill="1" applyBorder="1"/>
    <xf numFmtId="0" fontId="252" fillId="0" borderId="149" xfId="0" applyFont="1" applyBorder="1"/>
    <xf numFmtId="213" fontId="320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3" fontId="319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69" fontId="258" fillId="0" borderId="0" xfId="863" applyNumberFormat="1" applyFont="1" applyFill="1" applyBorder="1" applyAlignment="1">
      <alignment vertical="center" wrapText="1"/>
    </xf>
    <xf numFmtId="169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7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69" fontId="252" fillId="0" borderId="0" xfId="863" applyNumberFormat="1" applyFont="1" applyFill="1" applyBorder="1" applyAlignment="1">
      <alignment vertical="center" wrapText="1"/>
    </xf>
    <xf numFmtId="169" fontId="252" fillId="0" borderId="0" xfId="863" applyNumberFormat="1" applyFont="1" applyFill="1" applyBorder="1" applyAlignment="1">
      <alignment vertical="center"/>
    </xf>
    <xf numFmtId="167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6" fontId="251" fillId="0" borderId="0" xfId="43439" applyNumberFormat="1" applyFont="1" applyFill="1" applyBorder="1" applyAlignment="1">
      <alignment vertical="center" wrapText="1"/>
    </xf>
    <xf numFmtId="276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7" fontId="314" fillId="126" borderId="196" xfId="863" applyFont="1" applyFill="1" applyBorder="1" applyAlignment="1">
      <alignment vertical="center"/>
    </xf>
    <xf numFmtId="167" fontId="314" fillId="126" borderId="188" xfId="863" applyFont="1" applyFill="1" applyBorder="1" applyAlignment="1">
      <alignment vertical="center"/>
    </xf>
    <xf numFmtId="167" fontId="314" fillId="126" borderId="192" xfId="863" applyFont="1" applyFill="1" applyBorder="1" applyAlignment="1">
      <alignment vertical="center"/>
    </xf>
    <xf numFmtId="167" fontId="251" fillId="0" borderId="196" xfId="863" applyFont="1" applyFill="1" applyBorder="1" applyAlignment="1">
      <alignment horizontal="right" vertical="center"/>
    </xf>
    <xf numFmtId="167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7" fontId="322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7" fontId="314" fillId="0" borderId="0" xfId="863" applyFont="1" applyAlignment="1">
      <alignment vertical="center"/>
    </xf>
    <xf numFmtId="279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7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79" fontId="322" fillId="0" borderId="188" xfId="43440" applyNumberFormat="1" applyFont="1" applyBorder="1" applyAlignment="1">
      <alignment horizontal="center" vertical="center"/>
    </xf>
    <xf numFmtId="167" fontId="322" fillId="0" borderId="187" xfId="863" applyFont="1" applyBorder="1" applyAlignment="1">
      <alignment vertical="center"/>
    </xf>
    <xf numFmtId="0" fontId="44" fillId="128" borderId="0" xfId="0" applyFont="1" applyFill="1"/>
    <xf numFmtId="0" fontId="324" fillId="41" borderId="0" xfId="36379" applyFont="1" applyFill="1"/>
    <xf numFmtId="0" fontId="323" fillId="41" borderId="123" xfId="2697" applyFont="1" applyFill="1" applyBorder="1" applyAlignment="1">
      <alignment horizontal="center"/>
    </xf>
    <xf numFmtId="167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69" fontId="251" fillId="0" borderId="10" xfId="863" applyNumberFormat="1" applyFont="1" applyFill="1" applyBorder="1" applyAlignment="1">
      <alignment vertical="center"/>
    </xf>
    <xf numFmtId="169" fontId="311" fillId="0" borderId="193" xfId="863" applyNumberFormat="1" applyFont="1" applyFill="1" applyBorder="1" applyAlignment="1">
      <alignment vertical="center"/>
    </xf>
    <xf numFmtId="169" fontId="251" fillId="0" borderId="193" xfId="863" applyNumberFormat="1" applyFont="1" applyFill="1" applyBorder="1" applyAlignment="1">
      <alignment vertical="center"/>
    </xf>
    <xf numFmtId="166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1" fontId="251" fillId="0" borderId="0" xfId="863" applyNumberFormat="1" applyFont="1" applyFill="1" applyBorder="1" applyAlignment="1">
      <alignment vertical="center"/>
    </xf>
    <xf numFmtId="277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69" fontId="206" fillId="0" borderId="0" xfId="863" applyNumberFormat="1" applyFont="1"/>
    <xf numFmtId="0" fontId="206" fillId="0" borderId="0" xfId="0" applyFont="1" applyAlignment="1">
      <alignment wrapText="1"/>
    </xf>
    <xf numFmtId="167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2" fontId="206" fillId="0" borderId="0" xfId="847" applyNumberFormat="1" applyFont="1" applyFill="1"/>
    <xf numFmtId="43" fontId="206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69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7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3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7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7" fontId="284" fillId="119" borderId="0" xfId="863" applyFont="1" applyFill="1" applyBorder="1"/>
    <xf numFmtId="0" fontId="284" fillId="130" borderId="10" xfId="0" applyFont="1" applyFill="1" applyBorder="1"/>
    <xf numFmtId="167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9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7" fontId="284" fillId="45" borderId="0" xfId="863" applyFont="1" applyFill="1" applyBorder="1"/>
    <xf numFmtId="166" fontId="284" fillId="119" borderId="10" xfId="5583" applyNumberFormat="1" applyFont="1" applyFill="1" applyBorder="1" applyAlignment="1">
      <alignment vertical="center"/>
    </xf>
    <xf numFmtId="166" fontId="284" fillId="112" borderId="10" xfId="5583" applyNumberFormat="1" applyFont="1" applyFill="1" applyBorder="1" applyAlignment="1">
      <alignment vertical="center"/>
    </xf>
    <xf numFmtId="166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6" fontId="31" fillId="109" borderId="190" xfId="815" applyFont="1" applyFill="1" applyBorder="1" applyAlignment="1"/>
    <xf numFmtId="0" fontId="31" fillId="59" borderId="20" xfId="907" applyFill="1" applyBorder="1"/>
    <xf numFmtId="166" fontId="31" fillId="109" borderId="29" xfId="815" applyFont="1" applyFill="1" applyBorder="1" applyAlignment="1"/>
    <xf numFmtId="0" fontId="31" fillId="59" borderId="201" xfId="907" applyFill="1" applyBorder="1"/>
    <xf numFmtId="166" fontId="31" fillId="109" borderId="211" xfId="815" applyFont="1" applyFill="1" applyBorder="1" applyAlignment="1"/>
    <xf numFmtId="167" fontId="31" fillId="41" borderId="190" xfId="863" applyFont="1" applyFill="1" applyBorder="1" applyAlignment="1"/>
    <xf numFmtId="167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7" fontId="325" fillId="0" borderId="187" xfId="863" applyFont="1" applyBorder="1" applyAlignment="1">
      <alignment horizontal="center" vertical="center"/>
    </xf>
    <xf numFmtId="167" fontId="121" fillId="0" borderId="187" xfId="863" applyFont="1" applyBorder="1" applyAlignment="1">
      <alignment vertical="center"/>
    </xf>
    <xf numFmtId="167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6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9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3" fontId="330" fillId="0" borderId="178" xfId="0" applyNumberFormat="1" applyFont="1" applyBorder="1" applyAlignment="1">
      <alignment horizontal="right"/>
    </xf>
    <xf numFmtId="10" fontId="330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30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7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3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7" fontId="206" fillId="99" borderId="0" xfId="863" applyFont="1" applyFill="1"/>
    <xf numFmtId="2" fontId="206" fillId="99" borderId="0" xfId="863" applyNumberFormat="1" applyFont="1" applyFill="1"/>
    <xf numFmtId="166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6" fontId="206" fillId="106" borderId="29" xfId="815" applyFont="1" applyFill="1" applyBorder="1"/>
    <xf numFmtId="166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1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7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4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0" fontId="206" fillId="0" borderId="187" xfId="0" applyFont="1" applyBorder="1" applyAlignment="1">
      <alignment horizontal="right"/>
    </xf>
    <xf numFmtId="167" fontId="206" fillId="0" borderId="187" xfId="863" applyFont="1" applyBorder="1" applyAlignment="1">
      <alignment horizontal="center"/>
    </xf>
    <xf numFmtId="43" fontId="206" fillId="0" borderId="187" xfId="0" applyNumberFormat="1" applyFont="1" applyBorder="1" applyAlignment="1">
      <alignment horizontal="center"/>
    </xf>
    <xf numFmtId="167" fontId="206" fillId="0" borderId="187" xfId="0" applyNumberFormat="1" applyFont="1" applyBorder="1" applyAlignment="1">
      <alignment horizontal="center"/>
    </xf>
    <xf numFmtId="0" fontId="206" fillId="0" borderId="187" xfId="0" applyFont="1" applyBorder="1" applyAlignment="1">
      <alignment horizontal="center"/>
    </xf>
    <xf numFmtId="0" fontId="284" fillId="131" borderId="10" xfId="0" applyFont="1" applyFill="1" applyBorder="1"/>
    <xf numFmtId="167" fontId="284" fillId="131" borderId="0" xfId="863" applyFont="1" applyFill="1" applyBorder="1"/>
    <xf numFmtId="10" fontId="284" fillId="131" borderId="10" xfId="2578" applyNumberFormat="1" applyFont="1" applyFill="1" applyBorder="1" applyAlignment="1">
      <alignment horizontal="center"/>
    </xf>
    <xf numFmtId="10" fontId="284" fillId="131" borderId="0" xfId="847" applyNumberFormat="1" applyFont="1" applyFill="1" applyBorder="1" applyAlignment="1">
      <alignment horizontal="left"/>
    </xf>
    <xf numFmtId="10" fontId="284" fillId="131" borderId="10" xfId="847" applyNumberFormat="1" applyFont="1" applyFill="1" applyBorder="1" applyAlignment="1">
      <alignment horizontal="left"/>
    </xf>
    <xf numFmtId="0" fontId="284" fillId="131" borderId="0" xfId="2578" applyNumberFormat="1" applyFont="1" applyFill="1" applyBorder="1" applyAlignment="1">
      <alignment horizontal="center"/>
    </xf>
    <xf numFmtId="0" fontId="284" fillId="131" borderId="10" xfId="863" applyNumberFormat="1" applyFont="1" applyFill="1" applyBorder="1" applyAlignment="1">
      <alignment horizontal="center"/>
    </xf>
    <xf numFmtId="0" fontId="284" fillId="131" borderId="0" xfId="863" applyNumberFormat="1" applyFont="1" applyFill="1" applyBorder="1" applyAlignment="1">
      <alignment horizontal="center"/>
    </xf>
    <xf numFmtId="0" fontId="284" fillId="131" borderId="10" xfId="2578" applyNumberFormat="1" applyFont="1" applyFill="1" applyBorder="1" applyAlignment="1">
      <alignment horizontal="center"/>
    </xf>
    <xf numFmtId="10" fontId="284" fillId="131" borderId="10" xfId="847" applyNumberFormat="1" applyFont="1" applyFill="1" applyBorder="1" applyAlignment="1">
      <alignment horizontal="center"/>
    </xf>
    <xf numFmtId="0" fontId="284" fillId="131" borderId="0" xfId="847" applyNumberFormat="1" applyFont="1" applyFill="1" applyBorder="1" applyAlignment="1">
      <alignment horizontal="center"/>
    </xf>
    <xf numFmtId="0" fontId="284" fillId="131" borderId="10" xfId="847" applyNumberFormat="1" applyFont="1" applyFill="1" applyBorder="1" applyAlignment="1">
      <alignment horizontal="center"/>
    </xf>
    <xf numFmtId="167" fontId="284" fillId="111" borderId="0" xfId="863" applyFont="1" applyFill="1" applyBorder="1"/>
    <xf numFmtId="0" fontId="328" fillId="42" borderId="10" xfId="0" applyFont="1" applyFill="1" applyBorder="1"/>
    <xf numFmtId="167" fontId="284" fillId="112" borderId="0" xfId="863" applyFont="1" applyFill="1" applyBorder="1"/>
    <xf numFmtId="216" fontId="44" fillId="41" borderId="0" xfId="847" applyNumberFormat="1" applyFont="1" applyFill="1"/>
    <xf numFmtId="10" fontId="44" fillId="41" borderId="0" xfId="847" applyNumberFormat="1" applyFont="1" applyFill="1"/>
    <xf numFmtId="0" fontId="206" fillId="0" borderId="29" xfId="907" applyFont="1" applyBorder="1" applyAlignment="1">
      <alignment horizontal="left" indent="1"/>
    </xf>
    <xf numFmtId="261" fontId="209" fillId="0" borderId="0" xfId="847" applyNumberFormat="1" applyFont="1" applyBorder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6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6" fontId="31" fillId="59" borderId="170" xfId="815" applyFont="1" applyFill="1" applyBorder="1" applyAlignment="1">
      <alignment horizontal="center" vertical="center"/>
    </xf>
    <xf numFmtId="166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6" fontId="31" fillId="59" borderId="172" xfId="815" applyFont="1" applyFill="1" applyBorder="1" applyAlignment="1">
      <alignment horizontal="center" vertical="center"/>
    </xf>
    <xf numFmtId="166" fontId="31" fillId="59" borderId="177" xfId="815" applyFont="1" applyFill="1" applyBorder="1" applyAlignment="1">
      <alignment horizontal="center" vertical="center"/>
    </xf>
    <xf numFmtId="167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6" fontId="31" fillId="59" borderId="167" xfId="815" applyFont="1" applyFill="1" applyBorder="1" applyAlignment="1">
      <alignment horizontal="center" vertical="center"/>
    </xf>
    <xf numFmtId="166" fontId="31" fillId="59" borderId="176" xfId="815" applyFont="1" applyFill="1" applyBorder="1" applyAlignment="1">
      <alignment horizontal="center" vertical="center"/>
    </xf>
    <xf numFmtId="166" fontId="31" fillId="44" borderId="167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166" fontId="31" fillId="44" borderId="170" xfId="815" applyFont="1" applyFill="1" applyBorder="1" applyAlignment="1">
      <alignment horizontal="center" vertical="center"/>
    </xf>
    <xf numFmtId="166" fontId="31" fillId="44" borderId="175" xfId="815" applyFont="1" applyFill="1" applyBorder="1" applyAlignment="1">
      <alignment horizontal="center" vertical="center"/>
    </xf>
    <xf numFmtId="166" fontId="31" fillId="44" borderId="172" xfId="815" applyFont="1" applyFill="1" applyBorder="1" applyAlignment="1">
      <alignment horizontal="center" vertical="center"/>
    </xf>
    <xf numFmtId="166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3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69" fontId="39" fillId="55" borderId="128" xfId="863" applyNumberFormat="1" applyFont="1" applyFill="1" applyBorder="1" applyAlignment="1">
      <alignment horizontal="center" vertical="center"/>
    </xf>
    <xf numFmtId="169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69" fontId="118" fillId="55" borderId="132" xfId="863" applyNumberFormat="1" applyFont="1" applyFill="1" applyBorder="1" applyAlignment="1">
      <alignment horizontal="center" vertical="center" wrapText="1"/>
    </xf>
    <xf numFmtId="169" fontId="118" fillId="55" borderId="133" xfId="863" applyNumberFormat="1" applyFont="1" applyFill="1" applyBorder="1" applyAlignment="1">
      <alignment horizontal="center" vertical="center" wrapText="1"/>
    </xf>
    <xf numFmtId="169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6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3" fontId="251" fillId="0" borderId="188" xfId="43165" applyNumberFormat="1" applyFont="1" applyBorder="1" applyAlignment="1">
      <alignment horizontal="center"/>
    </xf>
    <xf numFmtId="213" fontId="251" fillId="0" borderId="186" xfId="43165" applyNumberFormat="1" applyFont="1" applyBorder="1" applyAlignment="1">
      <alignment horizontal="center"/>
    </xf>
    <xf numFmtId="213" fontId="251" fillId="0" borderId="192" xfId="43165" applyNumberFormat="1" applyFont="1" applyBorder="1" applyAlignment="1">
      <alignment horizontal="center"/>
    </xf>
    <xf numFmtId="213" fontId="251" fillId="0" borderId="188" xfId="7308" applyNumberFormat="1" applyFont="1" applyBorder="1" applyAlignment="1">
      <alignment horizontal="center"/>
    </xf>
    <xf numFmtId="213" fontId="251" fillId="0" borderId="186" xfId="7308" applyNumberFormat="1" applyFont="1" applyBorder="1" applyAlignment="1">
      <alignment horizontal="center"/>
    </xf>
    <xf numFmtId="213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69" formatCode="_(* #,##0_);_(* \(#,##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6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6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4" formatCode="dd/mm/yy"/>
    </dxf>
    <dxf>
      <numFmt numFmtId="20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7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3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4"/>
    </tableStyle>
    <tableStyle name="Padrão" pivot="0" count="1" xr9:uid="{3101F1C1-6DA4-4166-994B-3EC22CFD8317}">
      <tableStyleElement type="headerRow" dxfId="603"/>
    </tableStyle>
    <tableStyle name="Padrão 2" pivot="0" count="2" xr9:uid="{85D0CDF3-BF56-48CA-93DE-51D2DBCCC9A6}">
      <tableStyleElement type="wholeTable" dxfId="602"/>
      <tableStyleElement type="headerRow" dxfId="60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  <color rgb="FFFFCCCC"/>
      <color rgb="FFCCECFF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[Persas_RTA_2022_Cersad.xlsx]Calc_Mercado!Tabela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01/04/21</c:v>
                </c:pt>
                <c:pt idx="1">
                  <c:v>01/05/21</c:v>
                </c:pt>
                <c:pt idx="2">
                  <c:v>01/06/21</c:v>
                </c:pt>
                <c:pt idx="3">
                  <c:v>01/07/21</c:v>
                </c:pt>
                <c:pt idx="4">
                  <c:v>01/08/21</c:v>
                </c:pt>
                <c:pt idx="5">
                  <c:v>01/09/21</c:v>
                </c:pt>
                <c:pt idx="6">
                  <c:v>01/10/21</c:v>
                </c:pt>
                <c:pt idx="7">
                  <c:v>01/11/21</c:v>
                </c:pt>
                <c:pt idx="8">
                  <c:v>01/12/21</c:v>
                </c:pt>
                <c:pt idx="9">
                  <c:v>01/01/22</c:v>
                </c:pt>
                <c:pt idx="10">
                  <c:v>01/02/22</c:v>
                </c:pt>
                <c:pt idx="11">
                  <c:v>01/03/22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1696.7640000000001</c:v>
                </c:pt>
                <c:pt idx="1">
                  <c:v>1488.3550000000002</c:v>
                </c:pt>
                <c:pt idx="2">
                  <c:v>1528.0250000000001</c:v>
                </c:pt>
                <c:pt idx="3">
                  <c:v>1440.0370000000003</c:v>
                </c:pt>
                <c:pt idx="4">
                  <c:v>1402.0249999999999</c:v>
                </c:pt>
                <c:pt idx="5">
                  <c:v>1435.0720000000003</c:v>
                </c:pt>
                <c:pt idx="6">
                  <c:v>1518.4860000000003</c:v>
                </c:pt>
                <c:pt idx="7">
                  <c:v>1458.2800000000002</c:v>
                </c:pt>
                <c:pt idx="8">
                  <c:v>1564.6979999999999</c:v>
                </c:pt>
                <c:pt idx="9">
                  <c:v>1763.999</c:v>
                </c:pt>
                <c:pt idx="10">
                  <c:v>1763.999</c:v>
                </c:pt>
                <c:pt idx="11">
                  <c:v>1763.999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58F8-4DD5-BEDF-7CD2B177CF9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58F8-4DD5-BEDF-7CD2B177CF9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6.7777071466531905E-2</c:v>
                </c:pt>
                <c:pt idx="1">
                  <c:v>-3.130648596408402E-3</c:v>
                </c:pt>
                <c:pt idx="2">
                  <c:v>-5.4284998853001372E-2</c:v>
                </c:pt>
                <c:pt idx="3">
                  <c:v>0.10607432798178261</c:v>
                </c:pt>
                <c:pt idx="4">
                  <c:v>-0.26369999999999999</c:v>
                </c:pt>
                <c:pt idx="5">
                  <c:v>0.25180000000000002</c:v>
                </c:pt>
                <c:pt idx="6">
                  <c:v>0.10445708587895863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0.40607103557828816</c:v>
                </c:pt>
                <c:pt idx="1">
                  <c:v>0.2951671090798535</c:v>
                </c:pt>
                <c:pt idx="2">
                  <c:v>0.12410089696244485</c:v>
                </c:pt>
                <c:pt idx="3">
                  <c:v>0</c:v>
                </c:pt>
                <c:pt idx="4">
                  <c:v>0</c:v>
                </c:pt>
                <c:pt idx="5">
                  <c:v>2.2568494087465783E-2</c:v>
                </c:pt>
                <c:pt idx="6">
                  <c:v>0.13097942464612611</c:v>
                </c:pt>
                <c:pt idx="7">
                  <c:v>1.6644196734377256E-3</c:v>
                </c:pt>
                <c:pt idx="8">
                  <c:v>4.3543387988431582E-2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1838453.4257942513</c:v>
                </c:pt>
                <c:pt idx="1">
                  <c:v>2400000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2031904.167979738</c:v>
                </c:pt>
                <c:pt idx="1">
                  <c:v>1744524.9715553098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750046.36106290016</c:v>
                </c:pt>
                <c:pt idx="1">
                  <c:v>733473.02962819999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673493.11611311208</c:v>
                </c:pt>
                <c:pt idx="1">
                  <c:v>1032297.9562273542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0.29602199123811718</c:v>
                </c:pt>
                <c:pt idx="1">
                  <c:v>0.21517406493517605</c:v>
                </c:pt>
                <c:pt idx="2">
                  <c:v>9.0468394479164285E-2</c:v>
                </c:pt>
                <c:pt idx="3">
                  <c:v>0.12732620689727506</c:v>
                </c:pt>
                <c:pt idx="4">
                  <c:v>0.24918808782576196</c:v>
                </c:pt>
                <c:pt idx="5" formatCode="0.00%">
                  <c:v>2.1821254624505453E-2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Cersad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520.95000000000005</c:v>
                </c:pt>
                <c:pt idx="1">
                  <c:v>564.18000000000006</c:v>
                </c:pt>
                <c:pt idx="2">
                  <c:v>604.55000000000007</c:v>
                </c:pt>
                <c:pt idx="3">
                  <c:v>472.58</c:v>
                </c:pt>
                <c:pt idx="4">
                  <c:v>538.05999999999995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520.95000000000005</c:v>
                </c:pt>
                <c:pt idx="1">
                  <c:v>546.73107697701369</c:v>
                </c:pt>
                <c:pt idx="2">
                  <c:v>617.93881992711749</c:v>
                </c:pt>
                <c:pt idx="3">
                  <c:v>810.21257002865991</c:v>
                </c:pt>
                <c:pt idx="4">
                  <c:v>879.78918191703588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520.95000000000005</c:v>
                </c:pt>
                <c:pt idx="1">
                  <c:v>538.81137245479147</c:v>
                </c:pt>
                <c:pt idx="2">
                  <c:v>551.9500978926385</c:v>
                </c:pt>
                <c:pt idx="3">
                  <c:v>605.37761788646833</c:v>
                </c:pt>
                <c:pt idx="4">
                  <c:v>658.21068601974468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Cersad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520.95000000000005</c:v>
                </c:pt>
                <c:pt idx="6" formatCode="_(* #,##0.00_);_(* \(#,##0.00\);_(* &quot;-&quot;??_);_(@_)">
                  <c:v>564.18000000000006</c:v>
                </c:pt>
                <c:pt idx="7" formatCode="_(* #,##0.00_);_(* \(#,##0.00\);_(* &quot;-&quot;??_);_(@_)">
                  <c:v>604.55000000000007</c:v>
                </c:pt>
                <c:pt idx="8" formatCode="_(* #,##0.00_);_(* \(#,##0.00\);_(* &quot;-&quot;??_);_(@_)">
                  <c:v>472.58</c:v>
                </c:pt>
                <c:pt idx="9" formatCode="_(* #,##0.00_);_(* \(#,##0.00\);_(* &quot;-&quot;??_);_(@_)">
                  <c:v>538.05999999999995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520.95000000000005</c:v>
                </c:pt>
                <c:pt idx="6">
                  <c:v>546.73107697701369</c:v>
                </c:pt>
                <c:pt idx="7">
                  <c:v>617.93881992711749</c:v>
                </c:pt>
                <c:pt idx="8">
                  <c:v>810.21257002865991</c:v>
                </c:pt>
                <c:pt idx="9">
                  <c:v>879.78918191703588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520.95000000000005</c:v>
                </c:pt>
                <c:pt idx="6">
                  <c:v>538.81137245479147</c:v>
                </c:pt>
                <c:pt idx="7">
                  <c:v>551.9500978926385</c:v>
                </c:pt>
                <c:pt idx="8">
                  <c:v>605.37761788646833</c:v>
                </c:pt>
                <c:pt idx="9">
                  <c:v>658.21068601974468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41.642871412034" createdVersion="4" refreshedVersion="7" minRefreshableVersion="3" recordCount="539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4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4">
      <sharedItems containsSemiMixedTypes="0" containsNonDate="0" containsDate="1" containsString="0" minDate="2017-08-01T00:00:00" maxDate="2022-03-02T00:00:00" count="56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17-08-01T00:00:00" u="1"/>
        <d v="2018-08-01T00:00:00" u="1"/>
        <d v="2019-08-01T00:00:00" u="1"/>
        <d v="2020-08-01T00:00:00" u="1"/>
        <d v="2018-07-01T00:00:00" u="1"/>
        <d v="2019-07-01T00:00:00" u="1"/>
        <d v="2020-07-01T00:00:00" u="1"/>
        <d v="2018-06-01T00:00:00" u="1"/>
        <d v="2019-06-01T00:00:00" u="1"/>
        <d v="2020-06-01T00:00:00" u="1"/>
        <d v="2018-05-01T00:00:00" u="1"/>
        <d v="2019-05-01T00:00:00" u="1"/>
        <d v="2020-05-01T00:00:00" u="1"/>
        <d v="2018-04-01T00:00:00" u="1"/>
        <d v="2019-04-01T00:00:00" u="1"/>
        <d v="2020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d v="2018-10-01T00:00:00" u="1"/>
        <d v="2019-10-01T00:00:00" u="1"/>
        <d v="2020-10-01T00:00:00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964"/>
    </cacheField>
    <cacheField name="Daj" numFmtId="4">
      <sharedItems containsSemiMixedTypes="0" containsString="0" containsNumber="1" minValue="0" maxValue="964"/>
    </cacheField>
    <cacheField name="TUSD_E" numFmtId="4">
      <sharedItems containsSemiMixedTypes="0" containsString="0" containsNumber="1" minValue="-100.111" maxValue="963.36699999999996"/>
    </cacheField>
    <cacheField name="TUSD_Eaj" numFmtId="4">
      <sharedItems containsSemiMixedTypes="0" containsString="0" containsNumber="1" minValue="-100.111" maxValue="963.36699999999996"/>
    </cacheField>
    <cacheField name="TE_E" numFmtId="4">
      <sharedItems containsSemiMixedTypes="0" containsString="0" containsNumber="1" minValue="-100.111" maxValue="963.36699999999996"/>
    </cacheField>
    <cacheField name="TE_Eaj" numFmtId="4">
      <sharedItems containsSemiMixedTypes="0" containsString="0" containsNumber="1" minValue="-100.111" maxValue="963.36699999999996"/>
    </cacheField>
    <cacheField name="TUSD/KW" numFmtId="4">
      <sharedItems containsString="0" containsBlank="1" containsNumber="1" minValue="73.75" maxValue="193.63"/>
    </cacheField>
    <cacheField name="TUSD/MWh" numFmtId="4">
      <sharedItems containsString="0" containsBlank="1" containsNumber="1" minValue="94.17" maxValue="4750.8599999999997"/>
    </cacheField>
    <cacheField name="TE" numFmtId="4">
      <sharedItems containsString="0" containsBlank="1" containsNumber="1" minValue="113.89" maxValue="207.07"/>
    </cacheField>
    <cacheField name="ReceitaD" numFmtId="4">
      <sharedItems containsString="0" containsBlank="1" containsNumber="1" minValue="4277.5" maxValue="71095"/>
    </cacheField>
    <cacheField name="ReceitaE" numFmtId="4">
      <sharedItems containsString="0" containsBlank="1" containsNumber="1" minValue="-110554.57952" maxValue="1063865.4454399999"/>
    </cacheField>
    <cacheField name="Total" numFmtId="4">
      <sharedItems containsString="0" containsBlank="1" containsNumber="1" minValue="-110554.57952" maxValue="1063865.4454399999"/>
    </cacheField>
    <cacheField name="Total com Tar de aplicação" numFmtId="4">
      <sharedItems containsString="0" containsBlank="1" containsNumber="1" minValue="-110889.95137" maxValue="1067092.7248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7884.7676036610364" maxValue="75875.02783945940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976.866209416788" maxValue="192237.15345533678"/>
    </cacheField>
    <cacheField name="DISTRIBUICAO" numFmtId="4">
      <sharedItems containsString="0" containsBlank="1" containsNumber="1" minValue="-57433.208976270624" maxValue="552679.10850798513"/>
    </cacheField>
    <cacheField name="EnergiaRevenda" numFmtId="4">
      <sharedItems containsString="0" containsBlank="1" containsNumber="1" minValue="-20730.482344654385" maxValue="199489.1928451684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002.0039552751845" maxValue="9642.272521317223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78.80416831454681" maxValue="2682.929300643086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248.6345998683005" maxValue="31261.57333930661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778.72" maxValue="2050.15"/>
    </cacheField>
    <cacheField name="Cofins" numFmtId="4">
      <sharedItems containsSemiMixedTypes="0" containsString="0" containsNumber="1" minValue="-3594.03" maxValue="9494.07"/>
    </cacheField>
    <cacheField name="ICMS" numFmtId="4">
      <sharedItems containsSemiMixedTypes="0" containsString="0" containsNumber="1" containsInteger="1" minValue="0" maxValue="0"/>
    </cacheField>
    <cacheField name="UC" numFmtId="4">
      <sharedItems containsSemiMixedTypes="0" containsString="0" containsNumber="1" containsInteger="1" minValue="0" maxValue="6305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58.94679999999977" maxValue="1470.0331637999998"/>
    </cacheField>
    <cacheField name="Subs_Rural" numFmtId="4">
      <sharedItems containsString="0" containsBlank="1" containsNumber="1" minValue="-41.072280000000006" maxValue="8496.9110000000001"/>
    </cacheField>
    <cacheField name="Subs_Irrigante" numFmtId="4">
      <sharedItems containsString="0" containsBlank="1" containsNumber="1" minValue="2.1533100000000003" maxValue="3401.7838400000001"/>
    </cacheField>
    <cacheField name="Subs_BaixaRenda" numFmtId="4">
      <sharedItems containsString="0" containsBlank="1" containsNumber="1" minValue="159.87207999999993" maxValue="2306.492079999999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3979.116944522684" maxValue="230750.766184475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10888.8437" maxValue="1067096.0479000001"/>
    </cacheField>
    <cacheField name="FinAj" numFmtId="4">
      <sharedItems containsSemiMixedTypes="0" containsString="0" containsNumber="1" minValue="-570.06657999999879" maxValue="4401.833359999996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8775.772290000004" maxValue="2990.3155700000007"/>
    </cacheField>
    <cacheField name="FinPostTE" numFmtId="4">
      <sharedItems containsSemiMixedTypes="0" containsString="0" containsNumber="1" minValue="-3325.6874200000002" maxValue="32003.051739999999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7429.1491774283422" maxValue="71490.61697127792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4296.459158739126" maxValue="41344.77700129890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147.0638872274576" maxValue="30284.15954137558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93.17041745915594" maxValue="4745.7732472592907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167.3486988089717" maxValue="433.0617984490490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532.61035223643557" maxValue="55.347707543170714"/>
    </cacheField>
    <cacheField name="finCT_TFSEE" numFmtId="4">
      <sharedItems containsString="0" containsBlank="1" containsNumber="1" minValue="-184.13376761038353" maxValue="19.134780005172615"/>
    </cacheField>
    <cacheField name="FINCT_Liminar" numFmtId="4">
      <sharedItems containsString="0" containsBlank="1" containsNumber="1" containsInteger="1" minValue="0" maxValue="0"/>
    </cacheField>
    <cacheField name="FinCT_Posterg" numFmtId="4">
      <sharedItems containsString="0" containsBlank="1" containsNumber="1" minValue="-1752.0226391141589" maxValue="16859.693677772571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592.1141614231656" maxValue="43082.725027791923"/>
    </cacheField>
    <cacheField name="DIST_E" numFmtId="4">
      <sharedItems containsString="0" containsBlank="1" containsNumber="1" minValue="-57433.208976270624" maxValue="552679.1085079851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8775.772289999994" maxValue="2990.3155700000061"/>
    </cacheField>
    <cacheField name="Fin_TE" numFmtId="4">
      <sharedItems containsString="0" containsBlank="1" containsNumber="1" minValue="-3325.687420000002" maxValue="32003.05173999999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5122.209576519381" maxValue="8845.714585318921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6" maxValue="25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63.36699999999996"/>
    <n v="963.36699999999996"/>
    <n v="963.36699999999996"/>
    <n v="963.36699999999996"/>
    <m/>
    <n v="897.25"/>
    <n v="207.07"/>
    <m/>
    <n v="1063865.4454399999"/>
    <n v="1063865.4454399999"/>
    <n v="1067092.72489"/>
    <n v="0"/>
    <n v="75875.027839459406"/>
    <n v="0"/>
    <n v="0"/>
    <n v="0"/>
    <n v="192237.15345533678"/>
    <n v="552679.10850798513"/>
    <n v="199489.19284516847"/>
    <n v="0"/>
    <n v="0"/>
    <n v="0"/>
    <n v="0"/>
    <n v="0"/>
    <n v="9642.2725213172234"/>
    <m/>
    <n v="2682.9293006430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61.573339306618"/>
    <n v="0"/>
    <n v="1360.91"/>
    <n v="6318.7"/>
    <n v="0"/>
    <n v="6188"/>
    <m/>
    <m/>
    <m/>
    <m/>
    <m/>
    <m/>
    <m/>
    <m/>
    <m/>
    <n v="230750.7661844751"/>
    <m/>
    <m/>
    <m/>
    <m/>
    <m/>
    <m/>
    <m/>
    <m/>
    <m/>
    <m/>
    <m/>
    <m/>
    <n v="1067096.0479000001"/>
    <n v="3230.5724600001704"/>
    <m/>
    <m/>
    <m/>
    <m/>
    <n v="-28775.772290000004"/>
    <n v="32003.051739999999"/>
    <n v="30"/>
    <n v="71490.616971277923"/>
    <n v="0"/>
    <n v="0"/>
    <n v="0"/>
    <n v="0"/>
    <n v="0"/>
    <n v="0"/>
    <n v="0"/>
    <n v="41344.777001298906"/>
    <n v="0"/>
    <n v="0"/>
    <n v="30284.159541375586"/>
    <n v="0"/>
    <n v="0"/>
    <n v="0"/>
    <n v="4745.7732472592907"/>
    <n v="0"/>
    <n v="-4167.3486988089717"/>
    <m/>
    <n v="0"/>
    <n v="0"/>
    <n v="0"/>
    <n v="0"/>
    <n v="-532.61035223643557"/>
    <n v="-184.13376761038353"/>
    <n v="0"/>
    <n v="16859.693677772571"/>
    <m/>
    <m/>
    <m/>
    <n v="552679.10850798513"/>
    <n v="0"/>
    <n v="0"/>
    <n v="-28775.772289999994"/>
    <n v="32003.051739999995"/>
    <n v="0"/>
    <n v="0"/>
    <n v="-85122.20957651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056"/>
    <n v="-1.056"/>
    <n v="-1.056"/>
    <n v="-1.056"/>
    <m/>
    <n v="897.25"/>
    <n v="207.07"/>
    <m/>
    <n v="-1166.16192"/>
    <n v="-1166.16192"/>
    <n v="-1169.6995200000001"/>
    <n v="0"/>
    <n v="-83.170826277492523"/>
    <n v="0"/>
    <n v="0"/>
    <n v="0"/>
    <n v="-210.7218059668181"/>
    <n v="-605.82222412064391"/>
    <n v="-218.67116856244601"/>
    <n v="0"/>
    <n v="0"/>
    <n v="0"/>
    <n v="0"/>
    <n v="0"/>
    <n v="-10.569429700738128"/>
    <m/>
    <n v="-2.940907609954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267544400324894"/>
    <n v="0"/>
    <n v="0"/>
    <n v="0"/>
    <n v="0"/>
    <n v="0"/>
    <m/>
    <m/>
    <m/>
    <m/>
    <m/>
    <m/>
    <m/>
    <m/>
    <m/>
    <n v="-252.93871296277092"/>
    <m/>
    <m/>
    <m/>
    <m/>
    <m/>
    <m/>
    <m/>
    <m/>
    <m/>
    <m/>
    <m/>
    <m/>
    <n v="-1174.1302000000001"/>
    <n v="-7.9982800000000225"/>
    <m/>
    <m/>
    <m/>
    <m/>
    <n v="31.542720000000006"/>
    <n v="-35.08032"/>
    <n v="30"/>
    <n v="-78.364830351952605"/>
    <n v="0"/>
    <n v="0"/>
    <n v="0"/>
    <n v="0"/>
    <n v="0"/>
    <n v="0"/>
    <n v="0"/>
    <n v="-45.320303179755655"/>
    <n v="0"/>
    <n v="0"/>
    <n v="-33.196146926034032"/>
    <n v="0"/>
    <n v="0"/>
    <n v="0"/>
    <n v="-5.2021052715173042"/>
    <n v="0"/>
    <n v="4.5680620427544909"/>
    <m/>
    <n v="0"/>
    <n v="0"/>
    <n v="0"/>
    <n v="0"/>
    <n v="0.58382374729638364"/>
    <n v="0.20183923530343639"/>
    <n v="0"/>
    <n v="-18.48084533072841"/>
    <m/>
    <m/>
    <m/>
    <n v="-605.82222412064391"/>
    <n v="0"/>
    <n v="0"/>
    <n v="31.542720000000031"/>
    <n v="-35.08032"/>
    <n v="0"/>
    <n v="0"/>
    <n v="93.30717505665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.0199999999999996"/>
    <n v="4.0199999999999996"/>
    <n v="4.0199999999999996"/>
    <n v="4.0199999999999996"/>
    <m/>
    <n v="897.25"/>
    <n v="207.07"/>
    <m/>
    <n v="4439.3663999999999"/>
    <n v="4439.3663999999999"/>
    <n v="4452.8333999999995"/>
    <n v="0"/>
    <n v="316.61621366999992"/>
    <n v="0"/>
    <n v="0"/>
    <n v="0"/>
    <n v="802.17960226004607"/>
    <n v="2306.2550577319962"/>
    <n v="832.44138032294779"/>
    <n v="0"/>
    <n v="0"/>
    <n v="0"/>
    <n v="0"/>
    <n v="0"/>
    <n v="40.235897156219004"/>
    <m/>
    <n v="11.19550056062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4503110694186"/>
    <n v="0"/>
    <n v="9.26"/>
    <n v="42.78"/>
    <n v="0"/>
    <n v="30"/>
    <m/>
    <m/>
    <m/>
    <m/>
    <m/>
    <m/>
    <m/>
    <m/>
    <m/>
    <n v="962.8916913923664"/>
    <m/>
    <m/>
    <m/>
    <m/>
    <m/>
    <m/>
    <m/>
    <m/>
    <m/>
    <m/>
    <m/>
    <m/>
    <n v="4452.8333999999995"/>
    <n v="13.436999999998989"/>
    <m/>
    <m/>
    <m/>
    <m/>
    <n v="-120.07740000000001"/>
    <n v="133.54439999999997"/>
    <n v="30"/>
    <n v="298.32066099891063"/>
    <n v="0"/>
    <n v="0"/>
    <n v="0"/>
    <n v="0"/>
    <n v="0"/>
    <n v="0"/>
    <n v="0"/>
    <n v="172.52615415020614"/>
    <n v="0"/>
    <n v="0"/>
    <n v="126.37169568433399"/>
    <n v="0"/>
    <n v="0"/>
    <n v="0"/>
    <n v="19.80346893134427"/>
    <n v="0"/>
    <n v="-17.389781640031345"/>
    <m/>
    <n v="0"/>
    <n v="0"/>
    <n v="0"/>
    <n v="0"/>
    <n v="-2.2225108561850959"/>
    <n v="-0.76836527075739802"/>
    <n v="0"/>
    <n v="70.353218020386549"/>
    <m/>
    <m/>
    <m/>
    <n v="2306.2550577319962"/>
    <n v="0"/>
    <n v="0"/>
    <n v="-120.07740000000013"/>
    <n v="133.5444"/>
    <n v="0"/>
    <n v="0"/>
    <n v="-355.20345049976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.95"/>
    <n v="1.95"/>
    <n v="1.95"/>
    <n v="1.95"/>
    <m/>
    <n v="808.48"/>
    <n v="207.07"/>
    <m/>
    <n v="1980.3225"/>
    <n v="1980.3225"/>
    <n v="1993.3289999999997"/>
    <n v="0"/>
    <n v="0"/>
    <n v="0"/>
    <n v="0"/>
    <n v="0"/>
    <n v="389.11697124554479"/>
    <n v="1118.7058115864163"/>
    <n v="403.79619194769856"/>
    <n v="0"/>
    <n v="0"/>
    <n v="0"/>
    <n v="0"/>
    <n v="0"/>
    <n v="0"/>
    <m/>
    <n v="5.4306532570183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78135966509033"/>
    <n v="0"/>
    <n v="1.88"/>
    <n v="8.65"/>
    <n v="0"/>
    <n v="2"/>
    <m/>
    <m/>
    <m/>
    <m/>
    <m/>
    <m/>
    <m/>
    <n v="1295.6579999999999"/>
    <m/>
    <n v="467.07432791420757"/>
    <m/>
    <m/>
    <m/>
    <m/>
    <m/>
    <m/>
    <m/>
    <m/>
    <m/>
    <m/>
    <m/>
    <m/>
    <n v="697.67100000000005"/>
    <n v="4.5135000000000218"/>
    <m/>
    <m/>
    <m/>
    <m/>
    <n v="-51.772500000000129"/>
    <n v="64.778999999999996"/>
    <n v="30"/>
    <n v="154.22120878494968"/>
    <n v="0"/>
    <n v="0"/>
    <n v="0"/>
    <n v="0"/>
    <n v="0"/>
    <n v="0"/>
    <n v="0"/>
    <n v="83.688059848980572"/>
    <n v="0"/>
    <n v="0"/>
    <n v="61.299703130460557"/>
    <n v="0"/>
    <n v="0"/>
    <n v="0"/>
    <n v="9.6061603025177433"/>
    <n v="0"/>
    <n v="0"/>
    <m/>
    <n v="0"/>
    <n v="0"/>
    <n v="0"/>
    <n v="0"/>
    <n v="0"/>
    <n v="-0.37271449700918513"/>
    <n v="0"/>
    <n v="31.093929159485633"/>
    <m/>
    <m/>
    <m/>
    <n v="1118.7058115864163"/>
    <n v="0"/>
    <n v="0"/>
    <n v="-51.772500000000264"/>
    <n v="64.778999999999996"/>
    <n v="0"/>
    <n v="0"/>
    <n v="-172.30018121257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2549999999999999"/>
    <n v="4.2549999999999999"/>
    <n v="4.2549999999999999"/>
    <n v="4.2549999999999999"/>
    <m/>
    <n v="808.48"/>
    <n v="207.07"/>
    <m/>
    <n v="4321.16525"/>
    <n v="4321.16525"/>
    <n v="4349.5460999999996"/>
    <n v="0"/>
    <n v="0"/>
    <n v="0"/>
    <n v="0"/>
    <n v="0"/>
    <n v="849.07318597425285"/>
    <n v="2441.0734504103593"/>
    <n v="881.10399832690121"/>
    <n v="0"/>
    <n v="0"/>
    <n v="0"/>
    <n v="0"/>
    <n v="0"/>
    <n v="0"/>
    <m/>
    <n v="11.849963901852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07613771153638"/>
    <n v="0"/>
    <n v="6.65"/>
    <n v="30.79"/>
    <n v="0"/>
    <n v="7"/>
    <m/>
    <m/>
    <m/>
    <m/>
    <m/>
    <m/>
    <m/>
    <n v="1739.7843999999996"/>
    <m/>
    <n v="1019.1801360384376"/>
    <m/>
    <m/>
    <m/>
    <m/>
    <m/>
    <m/>
    <m/>
    <m/>
    <m/>
    <m/>
    <m/>
    <m/>
    <n v="2612.8283999999999"/>
    <n v="20.099249999999302"/>
    <m/>
    <m/>
    <m/>
    <m/>
    <n v="-112.97025000000029"/>
    <n v="141.3511"/>
    <n v="30"/>
    <n v="336.51858634869768"/>
    <n v="0"/>
    <n v="0"/>
    <n v="0"/>
    <n v="0"/>
    <n v="0"/>
    <n v="0"/>
    <n v="0"/>
    <n v="182.61163828585256"/>
    <n v="0"/>
    <n v="0"/>
    <n v="133.75909580518453"/>
    <n v="0"/>
    <n v="0"/>
    <n v="0"/>
    <n v="20.961134403698992"/>
    <n v="0"/>
    <n v="0"/>
    <m/>
    <n v="0"/>
    <n v="0"/>
    <n v="0"/>
    <n v="0"/>
    <n v="0"/>
    <n v="-0.81328214603799154"/>
    <n v="0"/>
    <n v="67.848547986467366"/>
    <m/>
    <m/>
    <m/>
    <n v="2441.0734504103593"/>
    <n v="0"/>
    <n v="0"/>
    <n v="-112.97024999999985"/>
    <n v="141.35110000000009"/>
    <n v="0"/>
    <n v="0"/>
    <n v="-375.9678313125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0590000000000002"/>
    <n v="4.0590000000000002"/>
    <n v="4.0590000000000002"/>
    <n v="4.0590000000000002"/>
    <m/>
    <n v="808.48"/>
    <n v="207.07"/>
    <m/>
    <n v="4122.1174499999997"/>
    <n v="4122.1174499999997"/>
    <n v="4149.1909800000003"/>
    <n v="0"/>
    <n v="0"/>
    <n v="0"/>
    <n v="0"/>
    <n v="0"/>
    <n v="809.96194168495708"/>
    <n v="2328.629173963725"/>
    <n v="840.51730416190185"/>
    <n v="0"/>
    <n v="0"/>
    <n v="0"/>
    <n v="0"/>
    <n v="0"/>
    <n v="0"/>
    <m/>
    <n v="11.30411362576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1587378874881"/>
    <n v="0"/>
    <n v="8.27"/>
    <n v="38.659999999999997"/>
    <n v="0"/>
    <n v="47"/>
    <m/>
    <m/>
    <m/>
    <m/>
    <m/>
    <m/>
    <m/>
    <n v="414.91097999999977"/>
    <m/>
    <n v="972.23317795065066"/>
    <m/>
    <m/>
    <m/>
    <m/>
    <m/>
    <m/>
    <m/>
    <m/>
    <m/>
    <m/>
    <m/>
    <m/>
    <n v="3735.1999999999994"/>
    <n v="25.243999999998323"/>
    <m/>
    <m/>
    <m/>
    <m/>
    <n v="-107.76645000000028"/>
    <n v="134.83998"/>
    <n v="30"/>
    <n v="321.01737767082614"/>
    <n v="0"/>
    <n v="0"/>
    <n v="0"/>
    <n v="0"/>
    <n v="0"/>
    <n v="0"/>
    <n v="0"/>
    <n v="174.19991534718577"/>
    <n v="0"/>
    <n v="0"/>
    <n v="127.59768974694327"/>
    <n v="0"/>
    <n v="0"/>
    <n v="0"/>
    <n v="19.995592137394624"/>
    <n v="0"/>
    <n v="0"/>
    <m/>
    <n v="0"/>
    <n v="0"/>
    <n v="0"/>
    <n v="0"/>
    <n v="0"/>
    <n v="-0.77581956069758284"/>
    <n v="0"/>
    <n v="64.72320946582164"/>
    <m/>
    <m/>
    <m/>
    <n v="2328.629173963725"/>
    <n v="0"/>
    <n v="0"/>
    <n v="-107.76645000000008"/>
    <n v="134.83998000000008"/>
    <n v="0"/>
    <n v="0"/>
    <n v="-358.6494541240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97699999999999998"/>
    <n v="0.97699999999999998"/>
    <n v="0.97699999999999998"/>
    <n v="0.97699999999999998"/>
    <m/>
    <n v="808.48"/>
    <n v="207.07"/>
    <m/>
    <n v="992.19235000000003"/>
    <n v="992.19235000000003"/>
    <n v="998.70893999999998"/>
    <n v="0"/>
    <n v="0"/>
    <n v="0"/>
    <n v="0"/>
    <n v="0"/>
    <n v="194.957579952255"/>
    <n v="560.50029636919419"/>
    <n v="202.31224591430845"/>
    <n v="0"/>
    <n v="0"/>
    <n v="0"/>
    <n v="0"/>
    <n v="0"/>
    <n v="0"/>
    <m/>
    <n v="2.7208965292856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03968635527861"/>
    <n v="0"/>
    <n v="1.95"/>
    <n v="9.07"/>
    <n v="0"/>
    <n v="9"/>
    <m/>
    <m/>
    <m/>
    <m/>
    <m/>
    <m/>
    <m/>
    <m/>
    <m/>
    <n v="234.01621454983632"/>
    <m/>
    <m/>
    <m/>
    <m/>
    <m/>
    <m/>
    <m/>
    <m/>
    <m/>
    <m/>
    <m/>
    <m/>
    <n v="1001.7755999999999"/>
    <n v="9.5532499999999345"/>
    <m/>
    <m/>
    <m/>
    <m/>
    <n v="-25.939350000000065"/>
    <n v="32.455939999999998"/>
    <n v="30"/>
    <n v="77.268779991228655"/>
    <n v="0"/>
    <n v="0"/>
    <n v="0"/>
    <n v="0"/>
    <n v="0"/>
    <n v="0"/>
    <n v="0"/>
    <n v="41.929863832027706"/>
    <n v="0"/>
    <n v="0"/>
    <n v="30.712723055620501"/>
    <n v="0"/>
    <n v="0"/>
    <n v="0"/>
    <n v="4.8129326233640164"/>
    <n v="0"/>
    <n v="0"/>
    <m/>
    <n v="0"/>
    <n v="0"/>
    <n v="0"/>
    <n v="0"/>
    <n v="0"/>
    <n v="-0.18673951978357684"/>
    <n v="0"/>
    <n v="15.578855789137162"/>
    <m/>
    <m/>
    <m/>
    <n v="560.50029636919419"/>
    <n v="0"/>
    <n v="0"/>
    <n v="-25.93934999999999"/>
    <n v="32.455939999999998"/>
    <n v="0"/>
    <n v="0"/>
    <n v="-86.32680874086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5"/>
    <n v="1.6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6.56"/>
    <n v="6.56"/>
    <n v="6.56"/>
    <n v="6.56"/>
    <m/>
    <n v="897.25"/>
    <n v="207.07"/>
    <m/>
    <n v="7244.3392000000003"/>
    <n v="7244.3392000000003"/>
    <n v="7266.3151999999991"/>
    <n v="0"/>
    <n v="516.66725414805956"/>
    <n v="0"/>
    <n v="0"/>
    <n v="0"/>
    <n v="1309.0294007029609"/>
    <n v="3763.4410892343026"/>
    <n v="1358.4118047061038"/>
    <n v="0"/>
    <n v="0"/>
    <n v="0"/>
    <n v="0"/>
    <n v="0"/>
    <n v="65.65857844397928"/>
    <m/>
    <n v="18.269274546687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87413945656371"/>
    <n v="0"/>
    <n v="0"/>
    <n v="0"/>
    <n v="0"/>
    <n v="9"/>
    <m/>
    <m/>
    <m/>
    <m/>
    <m/>
    <m/>
    <m/>
    <m/>
    <m/>
    <n v="1571.2859441626674"/>
    <m/>
    <m/>
    <m/>
    <m/>
    <m/>
    <m/>
    <m/>
    <m/>
    <m/>
    <m/>
    <m/>
    <m/>
    <n v="7266.3151999999991"/>
    <n v="21.945999999998094"/>
    <m/>
    <m/>
    <m/>
    <m/>
    <n v="-195.94720000000001"/>
    <n v="217.92319999999998"/>
    <n v="30"/>
    <n v="486.81182491364552"/>
    <n v="0"/>
    <n v="0"/>
    <n v="0"/>
    <n v="0"/>
    <n v="0"/>
    <n v="0"/>
    <n v="0"/>
    <n v="281.5352167227245"/>
    <n v="0"/>
    <n v="0"/>
    <n v="206.2184884799085"/>
    <n v="0"/>
    <n v="0"/>
    <n v="0"/>
    <n v="32.316108504880219"/>
    <n v="0"/>
    <n v="-28.377355114080956"/>
    <m/>
    <n v="0"/>
    <n v="0"/>
    <n v="0"/>
    <n v="0"/>
    <n v="-3.6267838847199627"/>
    <n v="-1.2538497950667988"/>
    <n v="0"/>
    <n v="114.80525129694919"/>
    <m/>
    <m/>
    <m/>
    <n v="3763.4410892343026"/>
    <n v="0"/>
    <n v="0"/>
    <n v="-195.94720000000052"/>
    <n v="217.92319999999995"/>
    <n v="0"/>
    <n v="0"/>
    <n v="-579.6354814125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.2130000000000001"/>
    <n v="1.2130000000000001"/>
    <n v="1.2130000000000001"/>
    <n v="1.2130000000000001"/>
    <m/>
    <n v="4750.8599999999997"/>
    <n v="207.07"/>
    <m/>
    <n v="6013.9690899999996"/>
    <n v="6013.9690899999996"/>
    <n v="5858.7536100000007"/>
    <n v="0"/>
    <n v="83.116481703504306"/>
    <n v="0"/>
    <n v="0"/>
    <n v="0"/>
    <n v="1561.5403995435738"/>
    <n v="4087.0261334997331"/>
    <n v="251.18193888849149"/>
    <n v="0"/>
    <n v="0"/>
    <n v="0"/>
    <n v="0"/>
    <n v="0"/>
    <n v="12.140831654351658"/>
    <m/>
    <n v="2.1947283938883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73861369230119"/>
    <n v="0"/>
    <n v="0"/>
    <n v="0"/>
    <n v="0"/>
    <n v="0"/>
    <m/>
    <m/>
    <m/>
    <m/>
    <m/>
    <m/>
    <m/>
    <m/>
    <m/>
    <n v="267.95580025772159"/>
    <m/>
    <m/>
    <m/>
    <m/>
    <m/>
    <m/>
    <m/>
    <m/>
    <m/>
    <m/>
    <m/>
    <m/>
    <n v="5844.2637000000004"/>
    <n v="-169.73538999999982"/>
    <m/>
    <m/>
    <m/>
    <m/>
    <n v="-195.51133999999925"/>
    <n v="40.295860000000005"/>
    <n v="30"/>
    <n v="371.13483961825682"/>
    <n v="0"/>
    <n v="0"/>
    <n v="0"/>
    <n v="0"/>
    <n v="0"/>
    <n v="0"/>
    <n v="0"/>
    <n v="335.84319387380901"/>
    <n v="0"/>
    <n v="0"/>
    <n v="38.13155892166597"/>
    <n v="0"/>
    <n v="0"/>
    <n v="0"/>
    <n v="2.5464151044260426"/>
    <n v="0"/>
    <n v="-4.5650772294878976"/>
    <m/>
    <n v="0"/>
    <n v="0"/>
    <n v="0"/>
    <n v="0"/>
    <n v="-0.67062330063495601"/>
    <n v="-0.15062775152191321"/>
    <n v="0"/>
    <n v="103.12239847134629"/>
    <m/>
    <m/>
    <m/>
    <n v="4087.0261334997331"/>
    <n v="0"/>
    <n v="0"/>
    <n v="-195.51133999999911"/>
    <n v="40.295859999999976"/>
    <n v="0"/>
    <n v="0"/>
    <n v="-629.4732146102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91.784999999999997"/>
    <n v="91.784999999999997"/>
    <n v="91.784999999999997"/>
    <n v="91.784999999999997"/>
    <m/>
    <n v="94.17"/>
    <n v="207.07"/>
    <m/>
    <n v="27649.313399999999"/>
    <n v="27649.313399999999"/>
    <n v="30635.079449999997"/>
    <n v="0"/>
    <n v="6289.2384774576603"/>
    <n v="0"/>
    <n v="0"/>
    <n v="0"/>
    <n v="0"/>
    <n v="0"/>
    <n v="19006.376142522826"/>
    <n v="0"/>
    <n v="0"/>
    <n v="0"/>
    <n v="0"/>
    <n v="0"/>
    <n v="918.6696070854631"/>
    <m/>
    <n v="166.07019425642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9.2406148184555"/>
    <n v="0"/>
    <n v="0"/>
    <n v="0"/>
    <n v="0"/>
    <n v="0"/>
    <m/>
    <m/>
    <m/>
    <m/>
    <m/>
    <m/>
    <m/>
    <m/>
    <m/>
    <n v="20275.616757341282"/>
    <m/>
    <m/>
    <m/>
    <m/>
    <m/>
    <m/>
    <m/>
    <m/>
    <m/>
    <m/>
    <m/>
    <m/>
    <n v="30636.748300000003"/>
    <n v="2987.404900000005"/>
    <m/>
    <m/>
    <m/>
    <m/>
    <n v="-63.33164999999979"/>
    <n v="3049.0976999999998"/>
    <n v="30"/>
    <n v="2670.4399873487964"/>
    <n v="0"/>
    <n v="0"/>
    <n v="0"/>
    <n v="0"/>
    <n v="0"/>
    <n v="0"/>
    <n v="0"/>
    <n v="0"/>
    <n v="0"/>
    <n v="0"/>
    <n v="2885.3298727329857"/>
    <n v="0"/>
    <n v="0"/>
    <n v="0"/>
    <n v="192.68154192889028"/>
    <n v="0"/>
    <n v="-345.42919497819184"/>
    <m/>
    <n v="0"/>
    <n v="0"/>
    <n v="0"/>
    <n v="0"/>
    <n v="-50.744566899241022"/>
    <n v="-11.397665435646132"/>
    <n v="0"/>
    <n v="314.93488781763153"/>
    <m/>
    <m/>
    <m/>
    <n v="0"/>
    <n v="0"/>
    <n v="0"/>
    <n v="-63.331650000000081"/>
    <n v="3049.0976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Não se aplica"/>
    <s v="CATIVO"/>
    <x v="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"/>
    <s v="Regular"/>
    <s v="Convencional"/>
    <s v="B3"/>
    <s v="Comercial"/>
    <s v="Não se aplica"/>
    <s v="Não se aplica"/>
    <s v="Não se aplica"/>
    <s v="Não se aplica"/>
    <s v="CATIVO"/>
    <x v="0"/>
    <n v="0"/>
    <n v="0"/>
    <n v="114.044"/>
    <n v="114.044"/>
    <n v="114.044"/>
    <n v="114.044"/>
    <m/>
    <n v="897.25"/>
    <n v="207.07"/>
    <m/>
    <n v="125941.07007999999"/>
    <n v="125941.07007999999"/>
    <n v="126323.11747999999"/>
    <n v="0"/>
    <n v="8982.1341969605655"/>
    <n v="0"/>
    <n v="0"/>
    <n v="0"/>
    <n v="22757.156855757388"/>
    <n v="65426.505423877563"/>
    <n v="23615.657904863248"/>
    <n v="0"/>
    <n v="0"/>
    <n v="0"/>
    <n v="0"/>
    <n v="0"/>
    <n v="1141.4583719611544"/>
    <m/>
    <n v="317.6068820735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0.7649939305416"/>
    <n v="0"/>
    <n v="130.69999999999999"/>
    <n v="604.28"/>
    <n v="0"/>
    <n v="231"/>
    <m/>
    <m/>
    <m/>
    <m/>
    <m/>
    <m/>
    <m/>
    <m/>
    <m/>
    <n v="27316.422898793789"/>
    <m/>
    <m/>
    <m/>
    <m/>
    <m/>
    <m/>
    <m/>
    <m/>
    <m/>
    <m/>
    <m/>
    <m/>
    <n v="126318.68680000001"/>
    <n v="377.58672000003571"/>
    <m/>
    <m/>
    <m/>
    <m/>
    <n v="-3406.4942800000003"/>
    <n v="3788.5416799999998"/>
    <n v="30"/>
    <n v="8463.1048415322875"/>
    <n v="0"/>
    <n v="0"/>
    <n v="0"/>
    <n v="0"/>
    <n v="0"/>
    <n v="0"/>
    <n v="0"/>
    <n v="4894.4210755985332"/>
    <n v="0"/>
    <n v="0"/>
    <n v="3585.0581250308969"/>
    <n v="0"/>
    <n v="0"/>
    <n v="0"/>
    <n v="561.80766437965804"/>
    <n v="0"/>
    <n v="-493.33339735217305"/>
    <m/>
    <n v="0"/>
    <n v="0"/>
    <n v="0"/>
    <n v="0"/>
    <n v="-63.050753254421124"/>
    <n v="-21.797872870213098"/>
    <n v="0"/>
    <n v="1995.8612925166576"/>
    <m/>
    <m/>
    <m/>
    <n v="65426.505423877563"/>
    <n v="0"/>
    <n v="0"/>
    <n v="-3406.494279999999"/>
    <n v="3788.5416799999985"/>
    <n v="0"/>
    <n v="0"/>
    <n v="-10076.82146984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55000000000000004"/>
    <n v="0.55000000000000004"/>
    <n v="0.55000000000000004"/>
    <n v="0.55000000000000004"/>
    <m/>
    <n v="897.25"/>
    <n v="207.07"/>
    <m/>
    <n v="607.37600000000009"/>
    <n v="607.37600000000009"/>
    <n v="609.21850000000006"/>
    <n v="0"/>
    <n v="43.318138686194025"/>
    <n v="0"/>
    <n v="0"/>
    <n v="0"/>
    <n v="109.75094060771777"/>
    <n v="315.53240839616871"/>
    <n v="113.89123362627397"/>
    <n v="0"/>
    <n v="0"/>
    <n v="0"/>
    <n v="0"/>
    <n v="0"/>
    <n v="5.5049113024677752"/>
    <m/>
    <n v="1.5317227135180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47679375169218"/>
    <n v="0"/>
    <n v="22.16"/>
    <n v="102.31"/>
    <n v="0"/>
    <n v="6"/>
    <m/>
    <m/>
    <m/>
    <m/>
    <m/>
    <m/>
    <m/>
    <m/>
    <m/>
    <n v="131.73891300144319"/>
    <m/>
    <m/>
    <m/>
    <m/>
    <m/>
    <m/>
    <m/>
    <m/>
    <m/>
    <m/>
    <m/>
    <m/>
    <n v="609.21850000000006"/>
    <n v="1.8125"/>
    <m/>
    <m/>
    <m/>
    <m/>
    <n v="-16.428500000000003"/>
    <n v="18.271000000000001"/>
    <n v="30"/>
    <n v="40.815015808308772"/>
    <n v="0"/>
    <n v="0"/>
    <n v="0"/>
    <n v="0"/>
    <n v="0"/>
    <n v="0"/>
    <n v="0"/>
    <n v="23.604324572789395"/>
    <n v="0"/>
    <n v="0"/>
    <n v="17.289659857309388"/>
    <n v="0"/>
    <n v="0"/>
    <n v="0"/>
    <n v="2.7094298289152619"/>
    <n v="0"/>
    <n v="-2.3791989806013021"/>
    <m/>
    <n v="0"/>
    <n v="0"/>
    <n v="0"/>
    <n v="0"/>
    <n v="-0.30407486838353304"/>
    <n v="-0.10512460172053961"/>
    <n v="0"/>
    <n v="9.6254402764210472"/>
    <m/>
    <m/>
    <m/>
    <n v="315.53240839616871"/>
    <n v="0"/>
    <n v="0"/>
    <n v="-16.428500000000042"/>
    <n v="18.271000000000001"/>
    <n v="0"/>
    <n v="0"/>
    <n v="-48.5974870086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"/>
    <s v="Regular"/>
    <s v="Azul"/>
    <s v="A4"/>
    <s v="Comercial"/>
    <s v="Não se aplica"/>
    <s v="Não se aplica"/>
    <s v="Não se aplica"/>
    <s v="Ponta"/>
    <s v="CATIVO"/>
    <x v="0"/>
    <n v="100"/>
    <n v="100"/>
    <n v="3.4089999999999998"/>
    <n v="3.4089999999999998"/>
    <n v="3.4089999999999998"/>
    <n v="3.4089999999999998"/>
    <n v="193.63"/>
    <n v="94.17"/>
    <n v="207.07"/>
    <n v="19363"/>
    <n v="1026.92716"/>
    <n v="20389.927159999999"/>
    <n v="19832.821930000002"/>
    <n v="0"/>
    <n v="233.58951865395397"/>
    <n v="0"/>
    <n v="0"/>
    <n v="0"/>
    <n v="5352.7545792855199"/>
    <n v="14009.762805225198"/>
    <n v="705.9185735126689"/>
    <n v="0"/>
    <n v="0"/>
    <n v="0"/>
    <n v="0"/>
    <n v="0"/>
    <n v="34.120441145659349"/>
    <m/>
    <n v="6.1680371762286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1049800251835"/>
    <n v="0"/>
    <n v="0"/>
    <n v="0"/>
    <n v="0"/>
    <n v="0"/>
    <m/>
    <m/>
    <m/>
    <m/>
    <m/>
    <m/>
    <m/>
    <m/>
    <m/>
    <n v="753.05962331292073"/>
    <m/>
    <m/>
    <m/>
    <m/>
    <m/>
    <m/>
    <m/>
    <m/>
    <m/>
    <m/>
    <m/>
    <m/>
    <n v="19833.155700000003"/>
    <n v="-556.80145999999149"/>
    <m/>
    <m/>
    <m/>
    <m/>
    <n v="-670.3522100000007"/>
    <n v="113.24697999999999"/>
    <n v="30"/>
    <n v="1250.4093820679773"/>
    <n v="0"/>
    <n v="0"/>
    <n v="0"/>
    <n v="0"/>
    <n v="0"/>
    <n v="0"/>
    <n v="0"/>
    <n v="1151.2261831043998"/>
    <n v="0"/>
    <n v="0"/>
    <n v="107.16445537012316"/>
    <n v="0"/>
    <n v="0"/>
    <n v="0"/>
    <n v="7.1564131005674909"/>
    <n v="0"/>
    <n v="-12.829635841157653"/>
    <m/>
    <n v="0"/>
    <n v="0"/>
    <n v="0"/>
    <n v="0"/>
    <n v="-1.8847113205808412"/>
    <n v="-0.42332234537362012"/>
    <n v="0"/>
    <n v="350.91956540683617"/>
    <m/>
    <m/>
    <n v="14009.762805225198"/>
    <n v="0"/>
    <n v="0"/>
    <n v="0"/>
    <n v="-670.35220999999729"/>
    <n v="113.24698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"/>
    <s v="Regular"/>
    <s v="Azul"/>
    <s v="A4"/>
    <s v="Comercial"/>
    <s v="Não se aplica"/>
    <s v="Não se aplica"/>
    <s v="Não se aplica"/>
    <s v="Fora ponta"/>
    <s v="CATIVO"/>
    <x v="0"/>
    <n v="100"/>
    <n v="100"/>
    <n v="32.619"/>
    <n v="32.619"/>
    <n v="32.619"/>
    <n v="32.619"/>
    <n v="73.75"/>
    <n v="94.17"/>
    <n v="207.07"/>
    <n v="7375"/>
    <n v="9826.1475599999994"/>
    <n v="17201.147559999998"/>
    <n v="18328.243630000001"/>
    <n v="0"/>
    <n v="2235.1001786369388"/>
    <n v="0"/>
    <n v="0"/>
    <n v="0"/>
    <n v="2905.8255513392301"/>
    <n v="4469.1623472813199"/>
    <n v="6754.5784539189635"/>
    <n v="0"/>
    <n v="0"/>
    <n v="0"/>
    <n v="0"/>
    <n v="0"/>
    <n v="326.48127595490246"/>
    <m/>
    <n v="59.018833866647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06890684494414"/>
    <n v="0"/>
    <n v="0"/>
    <n v="0"/>
    <n v="0"/>
    <n v="0"/>
    <m/>
    <m/>
    <m/>
    <m/>
    <m/>
    <m/>
    <m/>
    <m/>
    <m/>
    <n v="7205.6473607639073"/>
    <m/>
    <m/>
    <m/>
    <m/>
    <m/>
    <m/>
    <m/>
    <m/>
    <m/>
    <m/>
    <m/>
    <m/>
    <n v="18328.577399999998"/>
    <n v="1127.3998399999982"/>
    <m/>
    <m/>
    <m/>
    <m/>
    <n v="43.492889999999733"/>
    <n v="1083.6031800000001"/>
    <n v="30"/>
    <n v="1573.9948851701647"/>
    <n v="0"/>
    <n v="0"/>
    <n v="0"/>
    <n v="0"/>
    <n v="0"/>
    <n v="0"/>
    <n v="0"/>
    <n v="624.9609259466497"/>
    <n v="0"/>
    <n v="0"/>
    <n v="1025.4025725192278"/>
    <n v="0"/>
    <n v="0"/>
    <n v="0"/>
    <n v="68.476104114817019"/>
    <n v="0"/>
    <n v="-122.7603084490238"/>
    <m/>
    <n v="0"/>
    <n v="0"/>
    <n v="0"/>
    <n v="0"/>
    <n v="-18.033851148731742"/>
    <n v="-4.0505578127726949"/>
    <n v="0"/>
    <n v="241.12953634975349"/>
    <m/>
    <m/>
    <n v="4469.1623472813199"/>
    <n v="0"/>
    <n v="0"/>
    <n v="0"/>
    <n v="43.492890000001353"/>
    <n v="1083.6031800000001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"/>
    <s v="Regular"/>
    <s v="Azul"/>
    <s v="A4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48.38"/>
    <n v="1146.369999999999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0.53400000000000003"/>
    <n v="0.53400000000000003"/>
    <n v="0.53400000000000003"/>
    <n v="0.53400000000000003"/>
    <m/>
    <n v="4750.8599999999997"/>
    <n v="207.07"/>
    <m/>
    <n v="2647.5346200000004"/>
    <n v="2647.5346200000004"/>
    <n v="2579.2039800000002"/>
    <n v="0"/>
    <n v="36.59043794696727"/>
    <n v="0"/>
    <n v="0"/>
    <n v="0"/>
    <n v="687.43823030195256"/>
    <n v="1799.234917797904"/>
    <n v="110.57803410260054"/>
    <n v="0"/>
    <n v="0"/>
    <n v="0"/>
    <n v="0"/>
    <n v="0"/>
    <n v="5.3447684282141674"/>
    <m/>
    <n v="0.96618710827400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84370957270308"/>
    <n v="0"/>
    <n v="0"/>
    <n v="0"/>
    <n v="0"/>
    <n v="0"/>
    <m/>
    <m/>
    <m/>
    <m/>
    <m/>
    <m/>
    <m/>
    <m/>
    <m/>
    <n v="117.96240505987085"/>
    <m/>
    <m/>
    <m/>
    <m/>
    <m/>
    <m/>
    <m/>
    <m/>
    <m/>
    <m/>
    <m/>
    <m/>
    <n v="2559.8841000000002"/>
    <n v="-87.680520000000797"/>
    <m/>
    <m/>
    <m/>
    <m/>
    <n v="-86.070119999999676"/>
    <n v="17.73948"/>
    <n v="30"/>
    <n v="163.38499946920774"/>
    <n v="0"/>
    <n v="0"/>
    <n v="0"/>
    <n v="0"/>
    <n v="0"/>
    <n v="0"/>
    <n v="0"/>
    <n v="147.84852887767022"/>
    <n v="0"/>
    <n v="0"/>
    <n v="16.786687934187668"/>
    <n v="0"/>
    <n v="0"/>
    <n v="0"/>
    <n v="1.1210104416846711"/>
    <n v="0"/>
    <n v="-2.0096877498322598"/>
    <m/>
    <n v="0"/>
    <n v="0"/>
    <n v="0"/>
    <n v="0"/>
    <n v="-0.29522905403055777"/>
    <n v="-6.631098047213646E-2"/>
    <n v="0"/>
    <n v="45.39765934352755"/>
    <m/>
    <m/>
    <m/>
    <n v="1799.234917797904"/>
    <n v="0"/>
    <n v="0"/>
    <n v="-86.070119999999861"/>
    <n v="17.739480000000015"/>
    <n v="0"/>
    <n v="0"/>
    <n v="-277.1135173964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75.804000000000002"/>
    <n v="75.804000000000002"/>
    <n v="75.804000000000002"/>
    <n v="75.804000000000002"/>
    <m/>
    <n v="94.17"/>
    <n v="207.07"/>
    <m/>
    <n v="22835.196960000001"/>
    <n v="22835.196960000001"/>
    <n v="25301.10108"/>
    <n v="0"/>
    <n v="5194.1976744043204"/>
    <n v="0"/>
    <n v="0"/>
    <n v="0"/>
    <n v="0"/>
    <n v="0"/>
    <n v="15697.111043283767"/>
    <n v="0"/>
    <n v="0"/>
    <n v="0"/>
    <n v="0"/>
    <n v="0"/>
    <n v="758.71690249503126"/>
    <m/>
    <n v="137.1551452352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.2487940916076"/>
    <n v="0"/>
    <n v="0"/>
    <n v="0"/>
    <n v="0"/>
    <n v="0"/>
    <m/>
    <m/>
    <m/>
    <m/>
    <m/>
    <m/>
    <m/>
    <m/>
    <m/>
    <n v="16745.359837375374"/>
    <m/>
    <m/>
    <m/>
    <m/>
    <m/>
    <m/>
    <m/>
    <m/>
    <m/>
    <m/>
    <m/>
    <m/>
    <n v="25299.766"/>
    <n v="2464.5390399999997"/>
    <m/>
    <m/>
    <m/>
    <m/>
    <n v="-52.304759999999831"/>
    <n v="2518.2088800000001"/>
    <n v="30"/>
    <n v="2205.4805556571191"/>
    <n v="0"/>
    <n v="0"/>
    <n v="0"/>
    <n v="0"/>
    <n v="0"/>
    <n v="0"/>
    <n v="0"/>
    <n v="0"/>
    <n v="0"/>
    <n v="0"/>
    <n v="2382.9552287699662"/>
    <n v="0"/>
    <n v="0"/>
    <n v="0"/>
    <n v="159.13310022746214"/>
    <n v="0"/>
    <n v="-285.28533743124535"/>
    <m/>
    <n v="0"/>
    <n v="0"/>
    <n v="0"/>
    <n v="0"/>
    <n v="-41.909256950809663"/>
    <n v="-9.4131789582581007"/>
    <n v="0"/>
    <n v="260.1004982963201"/>
    <m/>
    <m/>
    <m/>
    <n v="0"/>
    <n v="0"/>
    <n v="0"/>
    <n v="-52.304759999999987"/>
    <n v="2518.20887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Ponta"/>
    <s v="CATIVO"/>
    <x v="0"/>
    <n v="0"/>
    <n v="0"/>
    <n v="2.1999999999999999E-2"/>
    <n v="2.1999999999999999E-2"/>
    <n v="2.1999999999999999E-2"/>
    <n v="2.1999999999999999E-2"/>
    <m/>
    <n v="2482.39"/>
    <n v="207.07"/>
    <m/>
    <n v="59.168119999999995"/>
    <n v="59.168119999999995"/>
    <n v="57.803459999999994"/>
    <n v="0"/>
    <n v="1.7327255474477607"/>
    <n v="0"/>
    <n v="0"/>
    <n v="0"/>
    <n v="13.389630775187193"/>
    <n v="38.494938533819237"/>
    <n v="4.5556493450509583"/>
    <n v="0"/>
    <n v="0"/>
    <n v="0"/>
    <n v="0"/>
    <n v="0"/>
    <n v="0.220196452098711"/>
    <m/>
    <n v="6.12689085407200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390717500676859"/>
    <n v="0"/>
    <n v="0"/>
    <n v="0"/>
    <n v="0"/>
    <n v="0"/>
    <m/>
    <m/>
    <m/>
    <m/>
    <m/>
    <m/>
    <m/>
    <m/>
    <m/>
    <n v="5.2695565200577272"/>
    <m/>
    <m/>
    <m/>
    <m/>
    <m/>
    <m/>
    <m/>
    <m/>
    <m/>
    <m/>
    <m/>
    <m/>
    <n v="52.548599999999993"/>
    <n v="-6.6495199999999954"/>
    <m/>
    <m/>
    <m/>
    <m/>
    <n v="-2.0954999999999999"/>
    <n v="0.73083999999999993"/>
    <n v="30"/>
    <n v="3.5681586929750537"/>
    <n v="0"/>
    <n v="0"/>
    <n v="0"/>
    <n v="0"/>
    <n v="0"/>
    <n v="0"/>
    <n v="0"/>
    <n v="2.8797310435542869"/>
    <n v="0"/>
    <n v="0"/>
    <n v="0.69158639429237567"/>
    <n v="0"/>
    <n v="0"/>
    <n v="0"/>
    <n v="0.10837719315661043"/>
    <n v="0"/>
    <n v="-9.5167959224051968E-2"/>
    <m/>
    <n v="0"/>
    <n v="0"/>
    <n v="0"/>
    <n v="0"/>
    <n v="-1.2162994735341326E-2"/>
    <n v="-4.2049840688215823E-3"/>
    <n v="0"/>
    <n v="0.99598087823380776"/>
    <m/>
    <m/>
    <m/>
    <n v="38.494938533819237"/>
    <n v="0"/>
    <n v="0"/>
    <n v="-2.0955000000000013"/>
    <n v="0.73083999999999971"/>
    <n v="0"/>
    <n v="0"/>
    <n v="-5.9288910600528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Fora ponta"/>
    <s v="CATIVO"/>
    <x v="0"/>
    <n v="0"/>
    <n v="0"/>
    <n v="0.22600000000000001"/>
    <n v="0.22600000000000001"/>
    <n v="0.22600000000000001"/>
    <n v="0.22600000000000001"/>
    <m/>
    <n v="595.67999999999995"/>
    <n v="207.07"/>
    <m/>
    <n v="181.42149999999998"/>
    <n v="181.42149999999998"/>
    <n v="184.99004000000002"/>
    <n v="0"/>
    <n v="17.799816987417909"/>
    <n v="0"/>
    <n v="0"/>
    <n v="0"/>
    <n v="27.509341719471315"/>
    <n v="79.089623918361966"/>
    <n v="46.798943271887119"/>
    <n v="0"/>
    <n v="0"/>
    <n v="0"/>
    <n v="0"/>
    <n v="0"/>
    <n v="2.2620180988322129"/>
    <m/>
    <n v="0.62939878773648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337737068877145"/>
    <n v="0"/>
    <n v="0"/>
    <n v="0"/>
    <n v="0"/>
    <n v="0"/>
    <m/>
    <m/>
    <m/>
    <m/>
    <m/>
    <m/>
    <m/>
    <m/>
    <m/>
    <n v="54.13271697877483"/>
    <m/>
    <m/>
    <m/>
    <m/>
    <m/>
    <m/>
    <m/>
    <m/>
    <m/>
    <m/>
    <m/>
    <m/>
    <n v="188.26420000000002"/>
    <n v="6.8127000000000635"/>
    <m/>
    <m/>
    <m/>
    <m/>
    <n v="-3.9391799999999888"/>
    <n v="7.5077199999999999"/>
    <n v="30"/>
    <n v="12.988511181001542"/>
    <n v="0"/>
    <n v="0"/>
    <n v="0"/>
    <n v="0"/>
    <n v="0"/>
    <n v="0"/>
    <n v="0"/>
    <n v="5.9164816914972747"/>
    <n v="0"/>
    <n v="0"/>
    <n v="7.1044784140944017"/>
    <n v="0"/>
    <n v="0"/>
    <n v="0"/>
    <n v="1.1133293478815434"/>
    <n v="0"/>
    <n v="-0.97763449021071835"/>
    <m/>
    <n v="0"/>
    <n v="0"/>
    <n v="0"/>
    <n v="0"/>
    <n v="-0.12494712773577898"/>
    <n v="-4.3196654525167189E-2"/>
    <n v="0"/>
    <n v="2.7611567450634795"/>
    <m/>
    <m/>
    <m/>
    <n v="79.089623918361966"/>
    <n v="0"/>
    <n v="0"/>
    <n v="-3.9391799999999648"/>
    <n v="7.5077199999999991"/>
    <n v="0"/>
    <n v="0"/>
    <n v="-12.18117970965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Intermediário"/>
    <s v="CATIVO"/>
    <x v="0"/>
    <n v="0"/>
    <n v="0"/>
    <n v="1.4E-2"/>
    <n v="1.4E-2"/>
    <n v="1.4E-2"/>
    <n v="1.4E-2"/>
    <m/>
    <n v="1539.04"/>
    <n v="207.07"/>
    <m/>
    <n v="24.445540000000001"/>
    <n v="24.445540000000001"/>
    <n v="24.121859999999998"/>
    <n v="0"/>
    <n v="1.1026435301940296"/>
    <n v="0"/>
    <n v="0"/>
    <n v="0"/>
    <n v="5.1123978901240417"/>
    <n v="14.698066019699862"/>
    <n v="2.8990495832142464"/>
    <n v="0"/>
    <n v="0"/>
    <n v="0"/>
    <n v="0"/>
    <n v="0"/>
    <n v="0.14012501497190699"/>
    <m/>
    <n v="3.89893054350037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30456591339824"/>
    <n v="0"/>
    <n v="0"/>
    <n v="0"/>
    <n v="0"/>
    <n v="0"/>
    <m/>
    <m/>
    <m/>
    <m/>
    <m/>
    <m/>
    <m/>
    <m/>
    <m/>
    <n v="3.3533541491276448"/>
    <m/>
    <m/>
    <m/>
    <m/>
    <m/>
    <m/>
    <m/>
    <m/>
    <m/>
    <m/>
    <m/>
    <m/>
    <n v="17.229900000000001"/>
    <n v="-7.2456400000000052"/>
    <m/>
    <m/>
    <m/>
    <m/>
    <n v="-0.78875999999999891"/>
    <n v="0.46507999999999999"/>
    <n v="30"/>
    <n v="1.5376225767113567"/>
    <n v="0"/>
    <n v="0"/>
    <n v="0"/>
    <n v="0"/>
    <n v="0"/>
    <n v="0"/>
    <n v="0"/>
    <n v="1.0995322543526864"/>
    <n v="0"/>
    <n v="0"/>
    <n v="0.44010043273151167"/>
    <n v="0"/>
    <n v="0"/>
    <n v="0"/>
    <n v="6.8967304736024804E-2"/>
    <n v="0"/>
    <n v="-6.0561428597123879E-2"/>
    <m/>
    <n v="0"/>
    <n v="0"/>
    <n v="0"/>
    <n v="0"/>
    <n v="-7.7400875588535534E-3"/>
    <n v="-2.6758989528864602E-3"/>
    <n v="0"/>
    <n v="0.40242555091130305"/>
    <m/>
    <m/>
    <m/>
    <n v="14.698066019699862"/>
    <n v="0"/>
    <n v="0"/>
    <n v="-0.78875999999999991"/>
    <n v="0.46507999999999994"/>
    <n v="0"/>
    <n v="0"/>
    <n v="-2.263758185967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"/>
    <s v="Regular"/>
    <s v="Convencional"/>
    <s v="B2"/>
    <s v="Rural"/>
    <s v="Não se aplica"/>
    <s v="Não se aplica"/>
    <s v="Não se aplica"/>
    <s v="Não se aplica"/>
    <s v="CATIVO"/>
    <x v="0"/>
    <n v="0"/>
    <n v="0"/>
    <n v="56.527999999999999"/>
    <n v="56.527999999999999"/>
    <n v="56.527999999999999"/>
    <n v="56.527999999999999"/>
    <m/>
    <n v="897.25"/>
    <n v="207.07"/>
    <m/>
    <n v="62425.000959999998"/>
    <n v="62425.000959999998"/>
    <n v="62614.369760000001"/>
    <n v="0"/>
    <n v="4452.1595339148644"/>
    <n v="0"/>
    <n v="0"/>
    <n v="0"/>
    <n v="11280.00212849649"/>
    <n v="32429.847239670224"/>
    <n v="11705.533917138207"/>
    <n v="0"/>
    <n v="0"/>
    <n v="0"/>
    <n v="0"/>
    <n v="0"/>
    <n v="565.78477473799705"/>
    <m/>
    <n v="157.427675544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4.3520358537553"/>
    <n v="0"/>
    <n v="28.55"/>
    <n v="131.88999999999999"/>
    <n v="0"/>
    <n v="171"/>
    <m/>
    <m/>
    <m/>
    <m/>
    <m/>
    <n v="7513.7017599999999"/>
    <m/>
    <m/>
    <m/>
    <n v="13539.885952991963"/>
    <m/>
    <m/>
    <m/>
    <m/>
    <m/>
    <m/>
    <m/>
    <m/>
    <m/>
    <m/>
    <m/>
    <m/>
    <n v="55102.6175"/>
    <n v="168.11181999999826"/>
    <m/>
    <m/>
    <m/>
    <m/>
    <n v="-1688.4913600000002"/>
    <n v="1877.86016"/>
    <n v="30"/>
    <n v="4194.8931156583058"/>
    <n v="0"/>
    <n v="0"/>
    <n v="0"/>
    <n v="0"/>
    <n v="0"/>
    <n v="0"/>
    <n v="0"/>
    <n v="2426.009562637526"/>
    <n v="0"/>
    <n v="0"/>
    <n v="1776.9998043890646"/>
    <n v="0"/>
    <n v="0"/>
    <n v="0"/>
    <n v="278.47027157985804"/>
    <n v="0"/>
    <n v="-244.5297454098727"/>
    <m/>
    <n v="0"/>
    <n v="0"/>
    <n v="0"/>
    <n v="0"/>
    <n v="-31.252262109062485"/>
    <n v="-10.804515429197579"/>
    <n v="0"/>
    <n v="989.2852508100525"/>
    <m/>
    <m/>
    <m/>
    <n v="32429.847239670224"/>
    <n v="0"/>
    <n v="0"/>
    <n v="-1688.49136"/>
    <n v="1877.8601600000002"/>
    <n v="0"/>
    <n v="0"/>
    <n v="-4994.761355684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2"/>
    <m/>
    <m/>
    <m/>
    <m/>
    <m/>
    <n v="13.292000000000003"/>
    <m/>
    <m/>
    <m/>
    <n v="23.952529636626036"/>
    <m/>
    <m/>
    <m/>
    <m/>
    <m/>
    <m/>
    <m/>
    <m/>
    <m/>
    <m/>
    <m/>
    <m/>
    <n v="97.474999999999994"/>
    <n v="0.26399999999996737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1.123000000000001"/>
    <n v="21.123000000000001"/>
    <n v="21.123000000000001"/>
    <n v="21.123000000000001"/>
    <m/>
    <n v="897.25"/>
    <n v="207.07"/>
    <m/>
    <n v="23326.551360000001"/>
    <n v="23326.551360000001"/>
    <n v="23397.313410000002"/>
    <n v="0"/>
    <n v="1663.6528063063206"/>
    <n v="0"/>
    <n v="0"/>
    <n v="0"/>
    <n v="4215.0347608305856"/>
    <n v="12118.165568276858"/>
    <n v="4374.0445961596088"/>
    <n v="0"/>
    <n v="0"/>
    <n v="0"/>
    <n v="0"/>
    <n v="0"/>
    <n v="211.41862080368512"/>
    <m/>
    <n v="58.82650705025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4482389849079"/>
    <n v="0"/>
    <n v="151.97"/>
    <n v="702.12"/>
    <n v="0"/>
    <n v="33"/>
    <m/>
    <m/>
    <m/>
    <m/>
    <m/>
    <m/>
    <m/>
    <m/>
    <m/>
    <n v="5059.4928351445169"/>
    <m/>
    <m/>
    <m/>
    <m/>
    <m/>
    <m/>
    <m/>
    <m/>
    <m/>
    <m/>
    <m/>
    <m/>
    <n v="23393.990400000002"/>
    <n v="67.409040000005916"/>
    <m/>
    <m/>
    <m/>
    <m/>
    <n v="-630.94401000000016"/>
    <n v="701.70605999999998"/>
    <n v="30"/>
    <n v="1567.5192343980088"/>
    <n v="0"/>
    <n v="0"/>
    <n v="0"/>
    <n v="0"/>
    <n v="0"/>
    <n v="0"/>
    <n v="0"/>
    <n v="906.53481445641955"/>
    <n v="0"/>
    <n v="0"/>
    <n v="664.01724575626577"/>
    <n v="0"/>
    <n v="0"/>
    <n v="0"/>
    <n v="104.05688413850373"/>
    <n v="0"/>
    <n v="-91.37421830407493"/>
    <m/>
    <n v="0"/>
    <n v="0"/>
    <n v="0"/>
    <n v="0"/>
    <n v="-11.67813353611885"/>
    <n v="-4.0373581129871994"/>
    <n v="0"/>
    <n v="369.66940901607592"/>
    <m/>
    <m/>
    <m/>
    <n v="12118.165568276858"/>
    <n v="0"/>
    <n v="0"/>
    <n v="-630.94400999999925"/>
    <n v="701.70605999999952"/>
    <n v="0"/>
    <n v="0"/>
    <n v="-1866.408578334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67.41500000000002"/>
    <n v="267.41500000000002"/>
    <n v="267.41500000000002"/>
    <n v="267.41500000000002"/>
    <m/>
    <n v="493.49"/>
    <n v="113.89"/>
    <m/>
    <n v="162422.52270000003"/>
    <n v="162422.52270000003"/>
    <n v="162914.56630000001"/>
    <n v="0"/>
    <n v="11583.920056768569"/>
    <n v="0"/>
    <n v="0"/>
    <n v="0"/>
    <n v="29349.04778261291"/>
    <n v="84378.098991261533"/>
    <n v="30456.224240170064"/>
    <n v="0"/>
    <n v="0"/>
    <n v="0"/>
    <n v="0"/>
    <n v="0"/>
    <n v="1472.0958559494188"/>
    <m/>
    <n v="409.60562943541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2.737180110872"/>
    <n v="0"/>
    <n v="1073.6300000000001"/>
    <n v="4955.26"/>
    <n v="0"/>
    <n v="3"/>
    <m/>
    <m/>
    <m/>
    <m/>
    <m/>
    <m/>
    <m/>
    <m/>
    <m/>
    <n v="35228.961420280939"/>
    <m/>
    <m/>
    <m/>
    <m/>
    <m/>
    <m/>
    <m/>
    <m/>
    <m/>
    <m/>
    <m/>
    <m/>
    <n v="162917.61240000001"/>
    <n v="495.05969999995432"/>
    <m/>
    <m/>
    <m/>
    <m/>
    <n v="-4393.628450000002"/>
    <n v="4885.6720499999992"/>
    <n v="30"/>
    <n v="10914.547452378654"/>
    <n v="0"/>
    <n v="0"/>
    <n v="0"/>
    <n v="0"/>
    <n v="0"/>
    <n v="0"/>
    <n v="0"/>
    <n v="6312.1504556323671"/>
    <n v="0"/>
    <n v="0"/>
    <n v="4623.5143907422826"/>
    <n v="0"/>
    <n v="0"/>
    <n v="0"/>
    <n v="724.54217769938532"/>
    <n v="0"/>
    <n v="-636.23349539749688"/>
    <m/>
    <n v="0"/>
    <n v="0"/>
    <n v="0"/>
    <n v="0"/>
    <n v="-81.314180928781525"/>
    <n v="-28.111895369098193"/>
    <n v="0"/>
    <n v="2573.9871115191386"/>
    <m/>
    <m/>
    <m/>
    <n v="84378.098991261533"/>
    <n v="0"/>
    <n v="0"/>
    <n v="-4393.6284500000038"/>
    <n v="4885.672050000001"/>
    <n v="0"/>
    <n v="0"/>
    <n v="-12995.69698842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05"/>
    <n v="13.207000000000001"/>
    <n v="14.05"/>
    <n v="13.207000000000001"/>
    <m/>
    <n v="897.25"/>
    <n v="207.07"/>
    <m/>
    <n v="15515.696000000002"/>
    <n v="15515.696000000002"/>
    <n v="15562.763500000001"/>
    <n v="0"/>
    <n v="1106.5815428018655"/>
    <n v="0"/>
    <n v="0"/>
    <n v="0"/>
    <n v="2803.6376646153353"/>
    <n v="8060.4187963021277"/>
    <n v="2909.4033317257258"/>
    <n v="0"/>
    <n v="0"/>
    <n v="0"/>
    <n v="0"/>
    <n v="0"/>
    <n v="140.62546145394953"/>
    <m/>
    <n v="39.128552954414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9270822202318"/>
    <n v="0"/>
    <n v="11.93"/>
    <n v="55.08"/>
    <n v="0"/>
    <n v="3"/>
    <m/>
    <m/>
    <m/>
    <m/>
    <n v="933.76580999999999"/>
    <m/>
    <m/>
    <m/>
    <m/>
    <n v="3365.3304139459578"/>
    <m/>
    <m/>
    <m/>
    <m/>
    <m/>
    <m/>
    <m/>
    <m/>
    <m/>
    <m/>
    <m/>
    <m/>
    <n v="14632.320700000002"/>
    <n v="47.536460000001171"/>
    <m/>
    <m/>
    <m/>
    <m/>
    <n v="-419.6735000000001"/>
    <n v="466.74099999999999"/>
    <n v="30"/>
    <n v="1042.6381311031591"/>
    <n v="0"/>
    <n v="0"/>
    <n v="0"/>
    <n v="0"/>
    <n v="0"/>
    <n v="0"/>
    <n v="0"/>
    <n v="602.98320045034779"/>
    <n v="0"/>
    <n v="0"/>
    <n v="441.67221999126696"/>
    <n v="0"/>
    <n v="0"/>
    <n v="0"/>
    <n v="69.213616538653469"/>
    <n v="0"/>
    <n v="-60.777719413542172"/>
    <m/>
    <n v="0"/>
    <n v="0"/>
    <n v="0"/>
    <n v="0"/>
    <n v="-7.7677307287066242"/>
    <n v="-2.6854557348610584"/>
    <n v="0"/>
    <n v="245.88624706130128"/>
    <m/>
    <m/>
    <m/>
    <n v="8060.4187963021277"/>
    <n v="0"/>
    <n v="0"/>
    <n v="-419.67350000000079"/>
    <n v="466.74099999999999"/>
    <n v="0"/>
    <n v="0"/>
    <n v="-1241.444895403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.5"/>
    <n v="1.41"/>
    <n v="1.5"/>
    <n v="1.41"/>
    <m/>
    <n v="4750.8599999999997"/>
    <n v="207.07"/>
    <m/>
    <n v="7436.8949999999986"/>
    <n v="7436.8949999999986"/>
    <n v="7244.9550000000008"/>
    <n v="0"/>
    <n v="102.78212906451481"/>
    <n v="0"/>
    <n v="0"/>
    <n v="0"/>
    <n v="1931.006264893125"/>
    <n v="5054.0306679716396"/>
    <n v="310.61245534438353"/>
    <n v="0"/>
    <n v="0"/>
    <n v="0"/>
    <n v="0"/>
    <n v="0"/>
    <n v="15.01339446127575"/>
    <m/>
    <n v="2.7140087311067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426150485121"/>
    <n v="0"/>
    <n v="0"/>
    <n v="0"/>
    <n v="0"/>
    <n v="0"/>
    <m/>
    <m/>
    <m/>
    <m/>
    <n v="434.69730000000038"/>
    <m/>
    <m/>
    <m/>
    <m/>
    <n v="331.35507039289564"/>
    <m/>
    <m/>
    <m/>
    <m/>
    <m/>
    <m/>
    <m/>
    <m/>
    <m/>
    <m/>
    <m/>
    <m/>
    <n v="6810.2577000000001"/>
    <n v="-180.45359999999982"/>
    <m/>
    <m/>
    <m/>
    <m/>
    <n v="-241.76999999999907"/>
    <n v="49.83"/>
    <n v="30"/>
    <n v="458.9466277224933"/>
    <n v="0"/>
    <n v="0"/>
    <n v="0"/>
    <n v="0"/>
    <n v="0"/>
    <n v="0"/>
    <n v="0"/>
    <n v="415.30485639794983"/>
    <n v="0"/>
    <n v="0"/>
    <n v="47.153617792661976"/>
    <n v="0"/>
    <n v="0"/>
    <n v="0"/>
    <n v="3.1489057350692988"/>
    <n v="0"/>
    <n v="-5.6451903085175985"/>
    <m/>
    <n v="0"/>
    <n v="0"/>
    <n v="0"/>
    <n v="0"/>
    <n v="-0.82929509559145309"/>
    <n v="-0.18626679907903521"/>
    <n v="0"/>
    <n v="127.52151500990882"/>
    <m/>
    <m/>
    <m/>
    <n v="5054.0306679716396"/>
    <n v="0"/>
    <n v="0"/>
    <n v="-241.76999999999862"/>
    <n v="49.829999999999984"/>
    <n v="0"/>
    <n v="0"/>
    <n v="-778.4087567316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4.141"/>
    <n v="13.292539999999999"/>
    <n v="14.141"/>
    <n v="13.292539999999999"/>
    <m/>
    <n v="94.17"/>
    <n v="207.07"/>
    <m/>
    <n v="4259.8348399999995"/>
    <n v="4259.8348399999995"/>
    <n v="4719.8415699999996"/>
    <n v="0"/>
    <n v="968.96139140086927"/>
    <n v="0"/>
    <n v="0"/>
    <n v="0"/>
    <n v="0"/>
    <n v="0"/>
    <n v="2928.2471540166184"/>
    <n v="0"/>
    <n v="0"/>
    <n v="0"/>
    <n v="0"/>
    <n v="0"/>
    <n v="141.53627405126693"/>
    <m/>
    <n v="25.585864977720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54754626733975"/>
    <n v="0"/>
    <n v="0"/>
    <n v="0"/>
    <n v="0"/>
    <n v="0"/>
    <m/>
    <m/>
    <m/>
    <m/>
    <n v="283.19049420000033"/>
    <m/>
    <m/>
    <m/>
    <m/>
    <n v="3123.7947002839583"/>
    <m/>
    <m/>
    <m/>
    <m/>
    <m/>
    <m/>
    <m/>
    <m/>
    <m/>
    <m/>
    <m/>
    <m/>
    <n v="4435.8032999999996"/>
    <n v="431.5285503999994"/>
    <m/>
    <m/>
    <m/>
    <m/>
    <n v="-9.7572899999999674"/>
    <n v="469.76401999999996"/>
    <n v="30"/>
    <n v="411.42552553357655"/>
    <n v="0"/>
    <n v="0"/>
    <n v="0"/>
    <n v="0"/>
    <n v="0"/>
    <n v="0"/>
    <n v="0"/>
    <n v="0"/>
    <n v="0"/>
    <n v="0"/>
    <n v="444.53287280402174"/>
    <n v="0"/>
    <n v="0"/>
    <n v="0"/>
    <n v="29.685783999743308"/>
    <n v="0"/>
    <n v="-53.21909076849829"/>
    <m/>
    <n v="0"/>
    <n v="0"/>
    <n v="0"/>
    <n v="0"/>
    <n v="-7.8180412978391871"/>
    <n v="-1.7559992038510899"/>
    <n v="0"/>
    <n v="48.52093750208779"/>
    <m/>
    <m/>
    <m/>
    <n v="0"/>
    <n v="0"/>
    <n v="0"/>
    <n v="-9.7572900000000118"/>
    <n v="469.76402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Não se aplica"/>
    <s v="CATIVO"/>
    <x v="0"/>
    <n v="58"/>
    <n v="54.519999999999996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6.74"/>
    <n v="446.54"/>
    <n v="0"/>
    <n v="1"/>
    <m/>
    <m/>
    <m/>
    <m/>
    <n v="258.94680000000028"/>
    <m/>
    <m/>
    <m/>
    <m/>
    <n v="0"/>
    <m/>
    <m/>
    <m/>
    <m/>
    <m/>
    <m/>
    <m/>
    <m/>
    <m/>
    <m/>
    <m/>
    <m/>
    <n v="4056.8332"/>
    <n v="35.95319999999947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5999999999999997E-2"/>
    <n v="3.5999999999999997E-2"/>
    <n v="3.5999999999999997E-2"/>
    <n v="3.5999999999999997E-2"/>
    <m/>
    <n v="897.25"/>
    <n v="207.07"/>
    <m/>
    <n v="39.755519999999997"/>
    <n v="39.755519999999997"/>
    <n v="39.87612"/>
    <n v="0"/>
    <n v="2.8353690776417904"/>
    <n v="0"/>
    <n v="0"/>
    <n v="0"/>
    <n v="7.1836979306869795"/>
    <n v="20.653030367749221"/>
    <n v="7.4546989282652039"/>
    <n v="0"/>
    <n v="0"/>
    <n v="0"/>
    <n v="0"/>
    <n v="0"/>
    <n v="0.36032146707061796"/>
    <m/>
    <n v="0.1002582139757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82117409201667"/>
    <n v="0"/>
    <n v="0.25"/>
    <n v="1.2"/>
    <n v="0"/>
    <n v="1"/>
    <m/>
    <m/>
    <m/>
    <m/>
    <m/>
    <m/>
    <m/>
    <m/>
    <m/>
    <n v="8.6229106691853712"/>
    <m/>
    <m/>
    <m/>
    <m/>
    <m/>
    <m/>
    <m/>
    <m/>
    <m/>
    <m/>
    <m/>
    <m/>
    <n v="44.306799999999996"/>
    <n v="4.5212800000000044"/>
    <m/>
    <m/>
    <m/>
    <m/>
    <n v="-1.0753200000000001"/>
    <n v="1.1959199999999999"/>
    <n v="30"/>
    <n v="2.671528307452931"/>
    <n v="0"/>
    <n v="0"/>
    <n v="0"/>
    <n v="0"/>
    <n v="0"/>
    <n v="0"/>
    <n v="0"/>
    <n v="1.5450103356734877"/>
    <n v="0"/>
    <n v="0"/>
    <n v="1.1316868270238878"/>
    <n v="0"/>
    <n v="0"/>
    <n v="0"/>
    <n v="0.17734449789263529"/>
    <n v="0"/>
    <n v="-0.15572938782117607"/>
    <m/>
    <n v="0"/>
    <n v="0"/>
    <n v="0"/>
    <n v="0"/>
    <n v="-1.9903082294194907E-2"/>
    <n v="-6.8808830217080424E-3"/>
    <n v="0"/>
    <n v="0.63002881809301392"/>
    <m/>
    <m/>
    <m/>
    <n v="20.653030367749221"/>
    <n v="0"/>
    <n v="0"/>
    <n v="-1.0753199999999978"/>
    <n v="1.1959200000000001"/>
    <n v="0"/>
    <n v="0"/>
    <n v="-3.180926422385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"/>
    <s v="Não se aplica"/>
    <s v="Não se aplica"/>
    <s v="CATIVO"/>
    <x v="0"/>
    <n v="0"/>
    <n v="0"/>
    <n v="1.222"/>
    <n v="1.222"/>
    <n v="1.222"/>
    <n v="1.222"/>
    <m/>
    <n v="897.25"/>
    <n v="207.07"/>
    <m/>
    <n v="1349.4790399999999"/>
    <n v="1349.4790399999999"/>
    <n v="1353.5727399999998"/>
    <n v="0"/>
    <n v="96.24502813550744"/>
    <n v="0"/>
    <n v="0"/>
    <n v="0"/>
    <n v="243.84663531387471"/>
    <n v="701.0556419274875"/>
    <n v="253.04561362055776"/>
    <n v="0"/>
    <n v="0"/>
    <n v="0"/>
    <n v="0"/>
    <n v="0"/>
    <n v="12.230912021119311"/>
    <m/>
    <n v="3.4032093743981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54298539012331"/>
    <n v="0"/>
    <n v="0"/>
    <n v="0"/>
    <n v="0"/>
    <n v="0"/>
    <m/>
    <m/>
    <m/>
    <m/>
    <m/>
    <n v="162.42824000000002"/>
    <m/>
    <m/>
    <m/>
    <n v="292.69991215957009"/>
    <m/>
    <m/>
    <m/>
    <m/>
    <m/>
    <m/>
    <m/>
    <m/>
    <m/>
    <m/>
    <m/>
    <m/>
    <n v="1189.1949999999999"/>
    <n v="1.6131800000000567"/>
    <m/>
    <m/>
    <m/>
    <m/>
    <n v="-36.501140000000007"/>
    <n v="40.594839999999998"/>
    <n v="30"/>
    <n v="90.683544214096742"/>
    <n v="0"/>
    <n v="0"/>
    <n v="0"/>
    <n v="0"/>
    <n v="0"/>
    <n v="0"/>
    <n v="0"/>
    <n v="52.444517505361176"/>
    <n v="0"/>
    <n v="0"/>
    <n v="38.414480628421956"/>
    <n v="0"/>
    <n v="0"/>
    <n v="0"/>
    <n v="6.0198604562444515"/>
    <n v="0"/>
    <n v="-5.2861475532632483"/>
    <m/>
    <n v="0"/>
    <n v="0"/>
    <n v="0"/>
    <n v="0"/>
    <n v="-0.67559907120850404"/>
    <n v="-0.23356775145908948"/>
    <n v="0"/>
    <n v="21.385978214157305"/>
    <m/>
    <m/>
    <m/>
    <n v="701.0556419274875"/>
    <n v="0"/>
    <n v="0"/>
    <n v="-36.501140000000078"/>
    <n v="40.594839999999976"/>
    <n v="0"/>
    <n v="0"/>
    <n v="-107.9747802265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125"/>
    <n v="0.05"/>
    <n v="0.125"/>
    <n v="0.05"/>
    <m/>
    <n v="897.25"/>
    <n v="207.07"/>
    <m/>
    <n v="138.04"/>
    <n v="138.04"/>
    <n v="138.45875000000001"/>
    <n v="0"/>
    <n v="9.8450315195895506"/>
    <n v="0"/>
    <n v="0"/>
    <n v="0"/>
    <n v="24.943395592663126"/>
    <n v="71.711910999129245"/>
    <n v="25.884371278698627"/>
    <n v="0"/>
    <n v="0"/>
    <n v="0"/>
    <n v="0"/>
    <n v="0"/>
    <n v="1.2511162051063125"/>
    <m/>
    <n v="0.34811879852681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62907670839126"/>
    <n v="0"/>
    <n v="0"/>
    <n v="0"/>
    <n v="0"/>
    <n v="0"/>
    <m/>
    <m/>
    <m/>
    <m/>
    <m/>
    <m/>
    <n v="89.721249999999998"/>
    <m/>
    <m/>
    <n v="29.940662045782538"/>
    <m/>
    <m/>
    <m/>
    <m/>
    <m/>
    <m/>
    <m/>
    <m/>
    <m/>
    <m/>
    <m/>
    <m/>
    <n v="48.737499999999997"/>
    <n v="0.11699999999999733"/>
    <m/>
    <m/>
    <m/>
    <m/>
    <n v="-3.7337500000000006"/>
    <n v="4.1524999999999999"/>
    <n v="30"/>
    <n v="9.2761399564338092"/>
    <n v="0"/>
    <n v="0"/>
    <n v="0"/>
    <n v="0"/>
    <n v="0"/>
    <n v="0"/>
    <n v="0"/>
    <n v="5.3646192210884998"/>
    <n v="0"/>
    <n v="0"/>
    <n v="3.929468149388498"/>
    <n v="0"/>
    <n v="0"/>
    <n v="0"/>
    <n v="0.61577950657165026"/>
    <n v="0"/>
    <n v="-0.54072704104575031"/>
    <m/>
    <n v="0"/>
    <n v="0"/>
    <n v="0"/>
    <n v="0"/>
    <n v="-6.9107924632621165E-2"/>
    <n v="-2.389195493648627E-2"/>
    <n v="0"/>
    <n v="2.1876000628229648"/>
    <m/>
    <m/>
    <m/>
    <n v="71.711910999129245"/>
    <n v="0"/>
    <n v="0"/>
    <n v="-3.7337500000000006"/>
    <n v="4.1524999999999999"/>
    <n v="0"/>
    <n v="0"/>
    <n v="-11.04488341106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34200000000000003"/>
    <n v="0.32832"/>
    <n v="0.34200000000000003"/>
    <n v="0.32832"/>
    <m/>
    <n v="4750.8599999999997"/>
    <n v="207.07"/>
    <m/>
    <n v="1695.6120599999999"/>
    <n v="1695.6120599999999"/>
    <n v="1651.8497400000003"/>
    <n v="0"/>
    <n v="23.434325426709378"/>
    <n v="0"/>
    <n v="0"/>
    <n v="0"/>
    <n v="440.26942839563253"/>
    <n v="1152.3189922975341"/>
    <n v="70.819639818519448"/>
    <n v="0"/>
    <n v="0"/>
    <n v="0"/>
    <n v="0"/>
    <n v="0"/>
    <n v="3.423053937170871"/>
    <m/>
    <n v="0.618793990692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293162310607597"/>
    <n v="0"/>
    <n v="0"/>
    <n v="0"/>
    <n v="0"/>
    <n v="0"/>
    <m/>
    <m/>
    <m/>
    <m/>
    <m/>
    <n v="66.073989600000118"/>
    <m/>
    <m/>
    <m/>
    <n v="75.548956049580212"/>
    <m/>
    <m/>
    <m/>
    <m/>
    <m/>
    <m/>
    <m/>
    <m/>
    <m/>
    <m/>
    <m/>
    <m/>
    <n v="1593.8901000000001"/>
    <n v="-33.927477599999975"/>
    <m/>
    <m/>
    <m/>
    <m/>
    <n v="-55.123559999999792"/>
    <n v="11.36124"/>
    <n v="30"/>
    <n v="104.63983112072856"/>
    <n v="0"/>
    <n v="0"/>
    <n v="0"/>
    <n v="0"/>
    <n v="0"/>
    <n v="0"/>
    <n v="0"/>
    <n v="94.689507258732647"/>
    <n v="0"/>
    <n v="0"/>
    <n v="10.751024856726929"/>
    <n v="0"/>
    <n v="0"/>
    <n v="0"/>
    <n v="0.71795050759580015"/>
    <n v="0"/>
    <n v="-1.2871033903420148"/>
    <m/>
    <n v="0"/>
    <n v="0"/>
    <n v="0"/>
    <n v="0"/>
    <n v="-0.18907928179485145"/>
    <n v="-4.2468830190020013E-2"/>
    <n v="0"/>
    <n v="29.074905422259217"/>
    <m/>
    <m/>
    <m/>
    <n v="1152.3189922975341"/>
    <n v="0"/>
    <n v="0"/>
    <n v="-55.12355999999977"/>
    <n v="11.361239999999995"/>
    <n v="0"/>
    <n v="0"/>
    <n v="-177.4771965348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9.7230000000000008"/>
    <n v="9.3340800000000002"/>
    <n v="9.7230000000000008"/>
    <n v="9.3340800000000002"/>
    <m/>
    <n v="94.17"/>
    <n v="207.07"/>
    <m/>
    <n v="2928.9565200000002"/>
    <n v="2928.9565200000002"/>
    <n v="3245.2457100000001"/>
    <n v="0"/>
    <n v="666.23376059618499"/>
    <n v="0"/>
    <n v="0"/>
    <n v="0"/>
    <n v="0"/>
    <n v="0"/>
    <n v="2013.3899355422941"/>
    <n v="0"/>
    <n v="0"/>
    <n v="0"/>
    <n v="0"/>
    <n v="0"/>
    <n v="97.316822897989425"/>
    <m/>
    <n v="17.592204595033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45363074445544"/>
    <n v="0"/>
    <n v="0"/>
    <n v="0"/>
    <n v="0"/>
    <n v="0"/>
    <m/>
    <m/>
    <m/>
    <m/>
    <m/>
    <n v="129.80982840000019"/>
    <m/>
    <m/>
    <m/>
    <n v="2147.8435662867496"/>
    <m/>
    <m/>
    <m/>
    <m/>
    <m/>
    <m/>
    <m/>
    <m/>
    <m/>
    <m/>
    <m/>
    <m/>
    <n v="3114.0740999999998"/>
    <n v="302.24584079999931"/>
    <m/>
    <m/>
    <m/>
    <m/>
    <n v="-6.7088699999999788"/>
    <n v="322.99806000000001"/>
    <n v="30"/>
    <n v="282.88596172568896"/>
    <n v="0"/>
    <n v="0"/>
    <n v="0"/>
    <n v="0"/>
    <n v="0"/>
    <n v="0"/>
    <n v="0"/>
    <n v="0"/>
    <n v="0"/>
    <n v="0"/>
    <n v="305.64975053203489"/>
    <n v="0"/>
    <n v="0"/>
    <n v="0"/>
    <n v="20.411206974719221"/>
    <n v="0"/>
    <n v="-36.592123579811073"/>
    <m/>
    <n v="0"/>
    <n v="0"/>
    <n v="0"/>
    <n v="0"/>
    <n v="-5.3754908096238125"/>
    <n v="-1.2073813916303031"/>
    <n v="0"/>
    <n v="33.361790208104068"/>
    <m/>
    <m/>
    <m/>
    <n v="0"/>
    <n v="0"/>
    <n v="0"/>
    <n v="-6.7088700000000472"/>
    <n v="322.99806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217"/>
    <n v="208.32"/>
    <n v="0"/>
    <n v="0"/>
    <n v="0"/>
    <n v="0"/>
    <n v="73.75"/>
    <m/>
    <m/>
    <n v="16003.75"/>
    <m/>
    <n v="16003.75"/>
    <n v="16146.97"/>
    <n v="0"/>
    <n v="0"/>
    <n v="0"/>
    <n v="0"/>
    <n v="0"/>
    <n v="6305.641446406129"/>
    <n v="9698.08229360046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45.87880000000052"/>
    <m/>
    <m/>
    <m/>
    <n v="0"/>
    <m/>
    <m/>
    <m/>
    <m/>
    <m/>
    <m/>
    <m/>
    <m/>
    <m/>
    <m/>
    <m/>
    <m/>
    <n v="15501.091199999999"/>
    <n v="137.46119999999792"/>
    <m/>
    <m/>
    <m/>
    <m/>
    <n v="143.21999999999926"/>
    <n v="0"/>
    <n v="30"/>
    <n v="1356.1652093042303"/>
    <n v="0"/>
    <n v="0"/>
    <n v="0"/>
    <n v="0"/>
    <m/>
    <m/>
    <m/>
    <n v="1356.1652093042303"/>
    <n v="0"/>
    <n v="0"/>
    <m/>
    <m/>
    <n v="0"/>
    <n v="0"/>
    <n v="0"/>
    <n v="0"/>
    <n v="0"/>
    <m/>
    <n v="0"/>
    <n v="0"/>
    <m/>
    <n v="0"/>
    <n v="0"/>
    <n v="0"/>
    <n v="0"/>
    <n v="280.3779817209915"/>
    <m/>
    <m/>
    <n v="9698.0822936004643"/>
    <m/>
    <n v="0"/>
    <n v="0"/>
    <n v="143.21999999999935"/>
    <m/>
    <n v="0"/>
    <m/>
    <n v="-1493.67359970375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5.9349999999999996"/>
    <n v="1.7805"/>
    <n v="5.9349999999999996"/>
    <n v="1.7805"/>
    <m/>
    <n v="94.17"/>
    <n v="207.07"/>
    <m/>
    <n v="1787.8593999999998"/>
    <n v="1787.8593999999998"/>
    <n v="1980.9249500000001"/>
    <n v="0"/>
    <n v="406.67462399859687"/>
    <n v="0"/>
    <n v="0"/>
    <n v="0"/>
    <n v="0"/>
    <n v="0"/>
    <n v="1228.9899483126107"/>
    <n v="0"/>
    <n v="0"/>
    <n v="0"/>
    <n v="0"/>
    <n v="0"/>
    <n v="59.402997418447711"/>
    <m/>
    <n v="10.738427879412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071613541946206"/>
    <n v="0"/>
    <n v="0"/>
    <n v="0"/>
    <n v="0"/>
    <n v="0"/>
    <m/>
    <m/>
    <m/>
    <m/>
    <m/>
    <m/>
    <n v="1386.647465"/>
    <m/>
    <m/>
    <n v="1311.0615618545569"/>
    <m/>
    <m/>
    <m/>
    <m/>
    <m/>
    <m/>
    <m/>
    <m/>
    <m/>
    <m/>
    <m/>
    <m/>
    <n v="594.11059999999998"/>
    <n v="57.722780000000057"/>
    <m/>
    <m/>
    <m/>
    <m/>
    <n v="-4.0951499999999861"/>
    <n v="197.16069999999999"/>
    <n v="30"/>
    <n v="172.67594187410896"/>
    <n v="0"/>
    <n v="0"/>
    <n v="0"/>
    <n v="0"/>
    <n v="0"/>
    <n v="0"/>
    <n v="0"/>
    <n v="0"/>
    <n v="0"/>
    <n v="0"/>
    <n v="186.57114773296576"/>
    <n v="0"/>
    <n v="0"/>
    <n v="0"/>
    <n v="12.459170358424203"/>
    <n v="0"/>
    <n v="-22.336136320701257"/>
    <m/>
    <n v="0"/>
    <n v="0"/>
    <n v="0"/>
    <n v="0"/>
    <n v="-3.28124426155685"/>
    <n v="-0.73699563502271381"/>
    <n v="0"/>
    <n v="20.364313985919736"/>
    <m/>
    <m/>
    <m/>
    <n v="0"/>
    <n v="0"/>
    <n v="0"/>
    <n v="-4.0951499999999896"/>
    <n v="197.16070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"/>
    <s v="Não se aplica"/>
    <s v="Não se aplica"/>
    <s v="Não se aplica"/>
    <s v="CATIVO"/>
    <x v="1"/>
    <n v="0"/>
    <n v="0"/>
    <n v="758.10400000000004"/>
    <n v="758.10400000000004"/>
    <n v="758.10400000000004"/>
    <n v="758.10400000000004"/>
    <m/>
    <n v="897.25"/>
    <n v="207.07"/>
    <m/>
    <n v="837189.40928000002"/>
    <n v="837189.40928000002"/>
    <n v="839729.05767999997"/>
    <n v="0"/>
    <n v="59708.46220101534"/>
    <n v="0"/>
    <n v="0"/>
    <n v="0"/>
    <n v="151277.50377904231"/>
    <n v="434920.69260867103"/>
    <n v="156984.36323093236"/>
    <n v="0"/>
    <n v="0"/>
    <n v="0"/>
    <n v="0"/>
    <n v="0"/>
    <n v="7587.8095964473277"/>
    <m/>
    <n v="2111.2820291070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00.72204551506"/>
    <n v="0"/>
    <n v="1124.32"/>
    <n v="5218.8999999999996"/>
    <n v="0"/>
    <n v="6140"/>
    <m/>
    <m/>
    <m/>
    <m/>
    <m/>
    <m/>
    <m/>
    <m/>
    <m/>
    <n v="181585.08527644741"/>
    <m/>
    <m/>
    <m/>
    <m/>
    <m/>
    <m/>
    <m/>
    <m/>
    <m/>
    <m/>
    <m/>
    <m/>
    <n v="839724.62700000009"/>
    <n v="2535.1877200000454"/>
    <m/>
    <m/>
    <m/>
    <m/>
    <n v="-22644.566480000005"/>
    <n v="25184.21488"/>
    <n v="31"/>
    <n v="56258.230444258312"/>
    <n v="0"/>
    <n v="0"/>
    <n v="0"/>
    <n v="0"/>
    <n v="0"/>
    <n v="0"/>
    <n v="0"/>
    <n v="32535.5143198726"/>
    <n v="0"/>
    <n v="0"/>
    <n v="23831.564175392152"/>
    <n v="0"/>
    <n v="0"/>
    <n v="0"/>
    <n v="3734.5992563999571"/>
    <n v="0"/>
    <n v="-3279.4186617995801"/>
    <m/>
    <n v="0"/>
    <n v="0"/>
    <n v="0"/>
    <n v="0"/>
    <n v="-419.12795276550878"/>
    <n v="-144.90069284135984"/>
    <n v="0"/>
    <n v="13267.426864210729"/>
    <m/>
    <m/>
    <m/>
    <n v="434920.69260867103"/>
    <n v="0"/>
    <n v="0"/>
    <n v="-22644.566480000038"/>
    <n v="25184.214879999985"/>
    <n v="0"/>
    <n v="0"/>
    <n v="-66985.36234768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1.135"/>
    <n v="-11.135"/>
    <n v="-11.135"/>
    <n v="-11.135"/>
    <m/>
    <n v="897.25"/>
    <n v="207.07"/>
    <m/>
    <n v="-12296.6032"/>
    <n v="-12296.6032"/>
    <n v="-12333.905449999998"/>
    <n v="0"/>
    <n v="-876.99540776503716"/>
    <n v="0"/>
    <n v="0"/>
    <n v="0"/>
    <n v="-2221.9576793944311"/>
    <n v="-6388.0970318024329"/>
    <n v="-2305.7797935064737"/>
    <n v="0"/>
    <n v="0"/>
    <n v="0"/>
    <n v="0"/>
    <n v="0"/>
    <n v="-111.44943155087032"/>
    <m/>
    <n v="-31.010422572769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1.33438153183494"/>
    <n v="0"/>
    <n v="-4.84"/>
    <n v="-22.3"/>
    <n v="0"/>
    <n v="0"/>
    <m/>
    <m/>
    <m/>
    <m/>
    <m/>
    <m/>
    <m/>
    <m/>
    <m/>
    <n v="-2667.1141750383085"/>
    <m/>
    <m/>
    <m/>
    <m/>
    <m/>
    <m/>
    <m/>
    <m/>
    <m/>
    <m/>
    <m/>
    <m/>
    <n v="-12339.443800000001"/>
    <n v="-42.870600000002014"/>
    <m/>
    <m/>
    <m/>
    <m/>
    <n v="332.60245000000003"/>
    <n v="-369.90469999999999"/>
    <n v="31"/>
    <n v="-826.31854731912154"/>
    <n v="0"/>
    <n v="0"/>
    <n v="0"/>
    <n v="0"/>
    <n v="0"/>
    <n v="0"/>
    <n v="0"/>
    <n v="-477.88028021456375"/>
    <n v="0"/>
    <n v="0"/>
    <n v="-350.03702274752732"/>
    <n v="0"/>
    <n v="0"/>
    <n v="0"/>
    <n v="-54.853638445402567"/>
    <n v="0"/>
    <n v="48.167964816355493"/>
    <m/>
    <n v="0"/>
    <n v="0"/>
    <n v="0"/>
    <n v="0"/>
    <n v="6.1561339262738954"/>
    <n v="2.1282953457421989"/>
    <n v="0"/>
    <n v="-194.87141359626972"/>
    <m/>
    <m/>
    <m/>
    <n v="-6388.0970318024329"/>
    <n v="0"/>
    <n v="0"/>
    <n v="332.60245000000032"/>
    <n v="-369.90470000000005"/>
    <n v="0"/>
    <n v="0"/>
    <n v="983.8782142574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7429999999999999"/>
    <n v="3.7429999999999999"/>
    <n v="3.7429999999999999"/>
    <n v="3.7429999999999999"/>
    <m/>
    <n v="897.25"/>
    <n v="207.07"/>
    <m/>
    <n v="4133.46976"/>
    <n v="4133.46976"/>
    <n v="4146.0088099999994"/>
    <n v="0"/>
    <n v="294.79962382258947"/>
    <n v="0"/>
    <n v="0"/>
    <n v="0"/>
    <n v="746.9050376267046"/>
    <n v="2147.3414629579261"/>
    <n v="775.0816135693517"/>
    <n v="0"/>
    <n v="0"/>
    <n v="0"/>
    <n v="0"/>
    <n v="0"/>
    <n v="37.463423645703422"/>
    <m/>
    <n v="10.42406930308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6157072956068"/>
    <n v="0"/>
    <n v="6.07"/>
    <n v="28.08"/>
    <n v="0"/>
    <n v="34"/>
    <m/>
    <m/>
    <m/>
    <m/>
    <m/>
    <m/>
    <m/>
    <m/>
    <m/>
    <n v="896.54318429891237"/>
    <m/>
    <m/>
    <m/>
    <m/>
    <m/>
    <m/>
    <m/>
    <m/>
    <m/>
    <m/>
    <m/>
    <m/>
    <n v="4142.6858000000002"/>
    <n v="9.1860399999995934"/>
    <m/>
    <m/>
    <m/>
    <m/>
    <n v="-111.80341000000001"/>
    <n v="124.34245999999999"/>
    <n v="31"/>
    <n v="277.7647348554533"/>
    <n v="0"/>
    <n v="0"/>
    <n v="0"/>
    <n v="0"/>
    <n v="0"/>
    <n v="0"/>
    <n v="0"/>
    <n v="160.63815795627409"/>
    <n v="0"/>
    <n v="0"/>
    <n v="117.66399426528915"/>
    <n v="0"/>
    <n v="0"/>
    <n v="0"/>
    <n v="18.438901544781501"/>
    <n v="0"/>
    <n v="-16.191530517073943"/>
    <m/>
    <n v="0"/>
    <n v="0"/>
    <n v="0"/>
    <n v="0"/>
    <n v="-2.0693676951992117"/>
    <n v="-0.71542069861814461"/>
    <n v="0"/>
    <n v="65.505496281170863"/>
    <m/>
    <m/>
    <m/>
    <n v="2147.3414629579261"/>
    <n v="0"/>
    <n v="0"/>
    <n v="-111.80341000000044"/>
    <n v="124.34245999999996"/>
    <n v="0"/>
    <n v="0"/>
    <n v="-330.7279888608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.13"/>
    <n v="2.13"/>
    <n v="2.13"/>
    <n v="2.13"/>
    <m/>
    <n v="808.48"/>
    <n v="207.07"/>
    <m/>
    <n v="2163.1215000000002"/>
    <n v="2163.1215000000002"/>
    <n v="2177.3285999999998"/>
    <n v="0"/>
    <n v="0"/>
    <n v="0"/>
    <n v="0"/>
    <n v="0"/>
    <n v="425.03546089897964"/>
    <n v="1221.9709634251624"/>
    <n v="441.06968658902457"/>
    <n v="0"/>
    <n v="0"/>
    <n v="0"/>
    <n v="0"/>
    <n v="0"/>
    <n v="0"/>
    <m/>
    <n v="5.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119194671109867"/>
    <n v="0"/>
    <n v="2.17"/>
    <n v="10.06"/>
    <n v="0"/>
    <n v="3"/>
    <m/>
    <m/>
    <m/>
    <m/>
    <m/>
    <m/>
    <m/>
    <n v="1415.2571999999998"/>
    <m/>
    <n v="510.18888126013445"/>
    <m/>
    <m/>
    <m/>
    <m/>
    <m/>
    <m/>
    <m/>
    <m/>
    <m/>
    <m/>
    <m/>
    <m/>
    <n v="762.07140000000004"/>
    <n v="4.9329000000001315"/>
    <m/>
    <m/>
    <m/>
    <m/>
    <n v="-56.551500000000139"/>
    <n v="70.758599999999987"/>
    <n v="31"/>
    <n v="168.45701267279139"/>
    <n v="0"/>
    <n v="0"/>
    <n v="0"/>
    <n v="0"/>
    <n v="0"/>
    <n v="0"/>
    <n v="0"/>
    <n v="91.413111527348065"/>
    <n v="0"/>
    <n v="0"/>
    <n v="66.958137265580035"/>
    <n v="0"/>
    <n v="0"/>
    <n v="0"/>
    <n v="10.492882791980918"/>
    <n v="0"/>
    <n v="0"/>
    <m/>
    <n v="0"/>
    <n v="0"/>
    <n v="0"/>
    <n v="0"/>
    <n v="0"/>
    <n v="-0.40711891211772677"/>
    <n v="0"/>
    <n v="33.964138004976611"/>
    <m/>
    <m/>
    <m/>
    <n v="1221.9709634251624"/>
    <n v="0"/>
    <n v="0"/>
    <n v="-56.55150000000026"/>
    <n v="70.758600000000001"/>
    <n v="0"/>
    <n v="0"/>
    <n v="-188.20481332450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.4409999999999998"/>
    <n v="4.4409999999999998"/>
    <n v="4.4409999999999998"/>
    <n v="4.4409999999999998"/>
    <m/>
    <n v="808.48"/>
    <n v="207.07"/>
    <m/>
    <n v="4510.0575499999995"/>
    <n v="4510.0575499999995"/>
    <n v="4539.6790199999996"/>
    <n v="0"/>
    <n v="0"/>
    <n v="0"/>
    <n v="0"/>
    <n v="0"/>
    <n v="886.18895861613555"/>
    <n v="2547.7807739770637"/>
    <n v="919.61994278960481"/>
    <n v="0"/>
    <n v="0"/>
    <n v="0"/>
    <n v="0"/>
    <n v="0"/>
    <n v="0"/>
    <m/>
    <n v="12.36796467406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11189837295723"/>
    <n v="0"/>
    <n v="7.03"/>
    <n v="33.090000000000003"/>
    <n v="0"/>
    <n v="11"/>
    <m/>
    <m/>
    <m/>
    <m/>
    <m/>
    <m/>
    <m/>
    <n v="1815.8360799999996"/>
    <m/>
    <n v="1063.731841162562"/>
    <m/>
    <m/>
    <m/>
    <m/>
    <m/>
    <m/>
    <m/>
    <m/>
    <m/>
    <m/>
    <m/>
    <m/>
    <n v="2723.2296000000006"/>
    <n v="17.165070000000014"/>
    <m/>
    <m/>
    <m/>
    <m/>
    <n v="-117.9085500000003"/>
    <n v="147.53001999999998"/>
    <n v="31"/>
    <n v="351.22891703280106"/>
    <n v="0"/>
    <n v="0"/>
    <n v="0"/>
    <n v="0"/>
    <n v="0"/>
    <n v="0"/>
    <n v="0"/>
    <n v="190.59419168683212"/>
    <n v="0"/>
    <n v="0"/>
    <n v="139.60614441147447"/>
    <n v="0"/>
    <n v="0"/>
    <n v="0"/>
    <n v="21.877414309477615"/>
    <n v="0"/>
    <n v="0"/>
    <m/>
    <n v="0"/>
    <n v="0"/>
    <n v="0"/>
    <n v="0"/>
    <n v="0"/>
    <n v="-0.8488333749834851"/>
    <n v="0"/>
    <n v="70.814430460141381"/>
    <m/>
    <m/>
    <m/>
    <n v="2547.7807739770637"/>
    <n v="0"/>
    <n v="0"/>
    <n v="-117.9085500000001"/>
    <n v="147.53002000000004"/>
    <n v="0"/>
    <n v="0"/>
    <n v="-392.4026178282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.5710000000000002"/>
    <n v="2.5710000000000002"/>
    <n v="2.5710000000000002"/>
    <n v="2.5710000000000002"/>
    <m/>
    <n v="808.48"/>
    <n v="207.07"/>
    <m/>
    <n v="2610.9790499999999"/>
    <n v="2610.9790499999999"/>
    <n v="2628.1276200000002"/>
    <n v="0"/>
    <n v="0"/>
    <n v="0"/>
    <n v="0"/>
    <n v="0"/>
    <n v="513.03576054989526"/>
    <n v="1474.9705854300903"/>
    <n v="532.38974846027338"/>
    <n v="0"/>
    <n v="0"/>
    <n v="0"/>
    <n v="0"/>
    <n v="0"/>
    <n v="0"/>
    <m/>
    <n v="7.16010744809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429788497381921"/>
    <n v="0"/>
    <n v="4.8600000000000003"/>
    <n v="22.35"/>
    <n v="0"/>
    <n v="53"/>
    <m/>
    <m/>
    <m/>
    <m/>
    <m/>
    <m/>
    <m/>
    <n v="262.80761999999987"/>
    <m/>
    <n v="615.81953695765526"/>
    <m/>
    <m/>
    <m/>
    <m/>
    <m/>
    <m/>
    <m/>
    <m/>
    <m/>
    <m/>
    <m/>
    <m/>
    <n v="2364.3999999999996"/>
    <n v="14.475999999999203"/>
    <m/>
    <m/>
    <m/>
    <m/>
    <n v="-68.260050000000177"/>
    <n v="85.408619999999999"/>
    <n v="31"/>
    <n v="203.33473219800294"/>
    <n v="0"/>
    <n v="0"/>
    <n v="0"/>
    <n v="0"/>
    <n v="0"/>
    <n v="0"/>
    <n v="0"/>
    <n v="110.33948813934819"/>
    <n v="0"/>
    <n v="0"/>
    <n v="80.821300896622688"/>
    <n v="0"/>
    <n v="0"/>
    <n v="0"/>
    <n v="12.665352891165696"/>
    <n v="0"/>
    <n v="0"/>
    <m/>
    <n v="0"/>
    <n v="0"/>
    <n v="0"/>
    <n v="0"/>
    <n v="0"/>
    <n v="-0.49140972913364944"/>
    <n v="0"/>
    <n v="40.996149676429525"/>
    <m/>
    <m/>
    <m/>
    <n v="1474.9705854300903"/>
    <n v="0"/>
    <n v="0"/>
    <n v="-68.260050000000092"/>
    <n v="85.408620000000042"/>
    <n v="0"/>
    <n v="0"/>
    <n v="-227.1711619987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21199999999999999"/>
    <n v="0.21199999999999999"/>
    <n v="0.21199999999999999"/>
    <n v="0.21199999999999999"/>
    <m/>
    <n v="808.48"/>
    <n v="207.07"/>
    <m/>
    <n v="215.29660000000001"/>
    <n v="215.29660000000001"/>
    <n v="216.71063999999996"/>
    <n v="0"/>
    <n v="0"/>
    <n v="0"/>
    <n v="0"/>
    <n v="0"/>
    <n v="42.303998925156662"/>
    <n v="121.6234010545232"/>
    <n v="43.899893688672869"/>
    <n v="0"/>
    <n v="0"/>
    <n v="0"/>
    <n v="0"/>
    <n v="0"/>
    <n v="0"/>
    <m/>
    <n v="0.590409482301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94691409743152"/>
    <n v="0"/>
    <n v="0.28999999999999998"/>
    <n v="1.33"/>
    <n v="0"/>
    <n v="4"/>
    <m/>
    <m/>
    <m/>
    <m/>
    <m/>
    <m/>
    <m/>
    <m/>
    <m/>
    <n v="50.779362829647184"/>
    <m/>
    <m/>
    <m/>
    <m/>
    <m/>
    <m/>
    <m/>
    <m/>
    <m/>
    <m/>
    <m/>
    <m/>
    <n v="214.6662"/>
    <n v="-0.66039999999998145"/>
    <m/>
    <m/>
    <m/>
    <m/>
    <n v="-5.6286000000000147"/>
    <n v="7.0426399999999996"/>
    <n v="31"/>
    <n v="16.766613467902232"/>
    <n v="0"/>
    <n v="0"/>
    <n v="0"/>
    <n v="0"/>
    <n v="0"/>
    <n v="0"/>
    <n v="0"/>
    <n v="9.0983941989660906"/>
    <n v="0"/>
    <n v="0"/>
    <n v="6.6643779813628967"/>
    <n v="0"/>
    <n v="0"/>
    <n v="0"/>
    <n v="1.0443620431455187"/>
    <n v="0"/>
    <n v="0"/>
    <m/>
    <n v="0"/>
    <n v="0"/>
    <n v="0"/>
    <n v="0"/>
    <n v="0"/>
    <n v="-4.0520755572280742E-2"/>
    <n v="0"/>
    <n v="3.3804681958004892"/>
    <m/>
    <m/>
    <m/>
    <n v="121.6234010545232"/>
    <n v="0"/>
    <n v="0"/>
    <n v="-5.6286000000000342"/>
    <n v="7.0426399999999987"/>
    <n v="0"/>
    <n v="0"/>
    <n v="-18.73212226516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"/>
    <s v="Regular"/>
    <s v="Branca"/>
    <s v="B1"/>
    <s v="Residencial"/>
    <s v="Residencial"/>
    <s v="Não se aplica"/>
    <s v="Não se aplica"/>
    <s v="Fora ponta"/>
    <s v="CATIVO"/>
    <x v="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7"/>
    <n v="1.7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4.6980000000000004"/>
    <n v="4.6980000000000004"/>
    <n v="4.6980000000000004"/>
    <n v="4.6980000000000004"/>
    <m/>
    <n v="897.25"/>
    <n v="207.07"/>
    <m/>
    <n v="5188.0953600000012"/>
    <n v="5188.0953600000012"/>
    <n v="5203.8336600000002"/>
    <n v="0"/>
    <n v="370.01566463225367"/>
    <n v="0"/>
    <n v="0"/>
    <n v="0"/>
    <n v="937.472579954651"/>
    <n v="2695.220462991274"/>
    <n v="972.83821013860927"/>
    <n v="0"/>
    <n v="0"/>
    <n v="0"/>
    <n v="0"/>
    <n v="0"/>
    <n v="47.021951452715655"/>
    <m/>
    <n v="13.08369692383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4516321900818"/>
    <n v="0"/>
    <n v="0"/>
    <n v="0"/>
    <n v="0"/>
    <n v="9"/>
    <m/>
    <m/>
    <m/>
    <m/>
    <m/>
    <m/>
    <m/>
    <m/>
    <m/>
    <n v="1125.2898423286911"/>
    <m/>
    <m/>
    <m/>
    <m/>
    <m/>
    <m/>
    <m/>
    <m/>
    <m/>
    <m/>
    <m/>
    <m/>
    <n v="5206.049"/>
    <n v="17.923639999998159"/>
    <m/>
    <m/>
    <m/>
    <m/>
    <n v="-140.32926000000003"/>
    <n v="156.06756000000001"/>
    <n v="31"/>
    <n v="348.63444412260742"/>
    <n v="0"/>
    <n v="0"/>
    <n v="0"/>
    <n v="0"/>
    <n v="0"/>
    <n v="0"/>
    <n v="0"/>
    <n v="201.62384880539014"/>
    <n v="0"/>
    <n v="0"/>
    <n v="147.68513092661726"/>
    <n v="0"/>
    <n v="0"/>
    <n v="0"/>
    <n v="23.143456974988879"/>
    <n v="0"/>
    <n v="-20.322685110663429"/>
    <m/>
    <n v="0"/>
    <n v="0"/>
    <n v="0"/>
    <n v="0"/>
    <n v="-2.5973522393924355"/>
    <n v="-0.89795523433290114"/>
    <n v="0"/>
    <n v="82.218760761138327"/>
    <m/>
    <m/>
    <m/>
    <n v="2695.220462991274"/>
    <n v="0"/>
    <n v="0"/>
    <n v="-140.32926000000043"/>
    <n v="156.06756000000007"/>
    <n v="0"/>
    <n v="0"/>
    <n v="-415.1108981213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65300000000000002"/>
    <n v="0.65300000000000002"/>
    <n v="0.65300000000000002"/>
    <n v="0.65300000000000002"/>
    <m/>
    <n v="897.25"/>
    <n v="207.07"/>
    <m/>
    <n v="721.12096000000008"/>
    <n v="721.12096000000008"/>
    <n v="723.30850999999996"/>
    <n v="0"/>
    <n v="51.430444658335816"/>
    <n v="0"/>
    <n v="0"/>
    <n v="0"/>
    <n v="130.30429857607217"/>
    <n v="374.62302305945121"/>
    <n v="135.21995555992163"/>
    <n v="0"/>
    <n v="0"/>
    <n v="0"/>
    <n v="0"/>
    <n v="0"/>
    <n v="6.5358310554753771"/>
    <m/>
    <n v="1.818572603504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90062967246359"/>
    <n v="0"/>
    <n v="0"/>
    <n v="0"/>
    <n v="0"/>
    <n v="1"/>
    <m/>
    <m/>
    <m/>
    <m/>
    <m/>
    <m/>
    <m/>
    <m/>
    <m/>
    <n v="156.41001852716798"/>
    <m/>
    <m/>
    <m/>
    <m/>
    <m/>
    <m/>
    <m/>
    <m/>
    <m/>
    <m/>
    <m/>
    <m/>
    <n v="719.9855"/>
    <n v="-1.1654600000000528"/>
    <m/>
    <m/>
    <m/>
    <m/>
    <n v="-19.505110000000002"/>
    <n v="21.69266"/>
    <n v="31"/>
    <n v="48.458555132410083"/>
    <n v="0"/>
    <n v="0"/>
    <n v="0"/>
    <n v="0"/>
    <n v="0"/>
    <n v="0"/>
    <n v="0"/>
    <n v="28.024770810966317"/>
    <n v="0"/>
    <n v="0"/>
    <n v="20.527541612405514"/>
    <n v="0"/>
    <n v="0"/>
    <n v="0"/>
    <n v="3.2168321423303041"/>
    <n v="0"/>
    <n v="-2.8247580624230011"/>
    <m/>
    <n v="0"/>
    <n v="0"/>
    <n v="0"/>
    <n v="0"/>
    <n v="-0.36101979828081365"/>
    <n v="-0.12481157258820419"/>
    <n v="0"/>
    <n v="11.42802272818717"/>
    <m/>
    <m/>
    <m/>
    <n v="374.62302305945121"/>
    <n v="0"/>
    <n v="0"/>
    <n v="-19.505110000000059"/>
    <n v="21.692659999999989"/>
    <n v="0"/>
    <n v="0"/>
    <n v="-57.69847093938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Ponta"/>
    <s v="CATIVO"/>
    <x v="1"/>
    <n v="0"/>
    <n v="0"/>
    <n v="1.2150000000000001"/>
    <n v="1.2150000000000001"/>
    <n v="1.2150000000000001"/>
    <n v="1.2150000000000001"/>
    <m/>
    <n v="4750.8599999999997"/>
    <n v="207.07"/>
    <m/>
    <n v="6023.8849499999997"/>
    <n v="6023.8849499999997"/>
    <n v="5868.4135500000011"/>
    <n v="0"/>
    <n v="83.253524542256997"/>
    <n v="0"/>
    <n v="0"/>
    <n v="0"/>
    <n v="1564.1150745634313"/>
    <n v="4093.7648410570287"/>
    <n v="251.59608882895066"/>
    <n v="0"/>
    <n v="0"/>
    <n v="0"/>
    <n v="0"/>
    <n v="0"/>
    <n v="12.160849513633359"/>
    <m/>
    <n v="2.19834707219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01518189294804"/>
    <n v="0"/>
    <n v="0"/>
    <n v="0"/>
    <n v="0"/>
    <n v="0"/>
    <m/>
    <m/>
    <m/>
    <m/>
    <m/>
    <m/>
    <m/>
    <m/>
    <m/>
    <n v="268.39760701824548"/>
    <m/>
    <m/>
    <m/>
    <m/>
    <m/>
    <m/>
    <m/>
    <m/>
    <m/>
    <m/>
    <m/>
    <m/>
    <n v="5892.5634"/>
    <n v="-131.35155000000032"/>
    <m/>
    <m/>
    <m/>
    <m/>
    <n v="-195.83369999999925"/>
    <n v="40.362300000000005"/>
    <n v="31"/>
    <n v="371.74676845521958"/>
    <n v="0"/>
    <n v="0"/>
    <n v="0"/>
    <n v="0"/>
    <n v="0"/>
    <n v="0"/>
    <n v="0"/>
    <n v="336.39693368233952"/>
    <n v="0"/>
    <n v="0"/>
    <n v="38.194430412056192"/>
    <n v="0"/>
    <n v="0"/>
    <n v="0"/>
    <n v="2.5506136454061306"/>
    <n v="0"/>
    <n v="-4.5726041498992487"/>
    <m/>
    <n v="0"/>
    <n v="0"/>
    <n v="0"/>
    <n v="0"/>
    <n v="-0.67172902742907858"/>
    <n v="-0.15087610725401834"/>
    <n v="0"/>
    <n v="103.29242715802616"/>
    <m/>
    <m/>
    <m/>
    <n v="4093.7648410570287"/>
    <n v="0"/>
    <n v="0"/>
    <n v="-195.83369999999923"/>
    <n v="40.362300000000005"/>
    <n v="0"/>
    <n v="0"/>
    <n v="-630.5110929526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Fora ponta"/>
    <s v="CATIVO"/>
    <x v="1"/>
    <n v="0"/>
    <n v="0"/>
    <n v="121.20399999999999"/>
    <n v="121.20399999999999"/>
    <n v="121.20399999999999"/>
    <n v="121.20399999999999"/>
    <m/>
    <n v="94.17"/>
    <n v="207.07"/>
    <m/>
    <n v="36511.492959999996"/>
    <n v="36511.492959999996"/>
    <n v="40454.259079999996"/>
    <n v="0"/>
    <n v="8305.070114090302"/>
    <n v="0"/>
    <n v="0"/>
    <n v="0"/>
    <n v="0"/>
    <n v="0"/>
    <n v="25098.314691707106"/>
    <n v="0"/>
    <n v="0"/>
    <n v="0"/>
    <n v="0"/>
    <n v="0"/>
    <n v="1213.1223081896439"/>
    <m/>
    <n v="219.29914283004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.0586095599069"/>
    <n v="0"/>
    <n v="0"/>
    <n v="0"/>
    <n v="0"/>
    <n v="0"/>
    <m/>
    <m/>
    <m/>
    <m/>
    <m/>
    <m/>
    <m/>
    <m/>
    <m/>
    <n v="26774.373301267013"/>
    <m/>
    <m/>
    <m/>
    <m/>
    <m/>
    <m/>
    <m/>
    <m/>
    <m/>
    <m/>
    <m/>
    <m/>
    <n v="40452.923999999999"/>
    <n v="3941.4010400000043"/>
    <m/>
    <m/>
    <m/>
    <m/>
    <n v="-83.630759999999725"/>
    <n v="4026.3968799999998"/>
    <n v="31"/>
    <n v="3526.3715010799497"/>
    <n v="0"/>
    <n v="0"/>
    <n v="0"/>
    <n v="0"/>
    <n v="0"/>
    <n v="0"/>
    <n v="0"/>
    <n v="0"/>
    <n v="0"/>
    <n v="0"/>
    <n v="3810.1380606278653"/>
    <n v="0"/>
    <n v="0"/>
    <n v="0"/>
    <n v="254.43998047555965"/>
    <n v="0"/>
    <n v="-456.14643076904576"/>
    <m/>
    <n v="0"/>
    <n v="0"/>
    <n v="0"/>
    <n v="0"/>
    <n v="-67.009255177377781"/>
    <n v="-15.050854077050246"/>
    <n v="0"/>
    <n v="415.87806442281646"/>
    <m/>
    <m/>
    <m/>
    <n v="0"/>
    <n v="0"/>
    <n v="0"/>
    <n v="-83.630760000000009"/>
    <n v="4026.3968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Não se aplica"/>
    <s v="CATIVO"/>
    <x v="1"/>
    <n v="964"/>
    <n v="964"/>
    <n v="0"/>
    <n v="0"/>
    <n v="0"/>
    <n v="0"/>
    <n v="73.75"/>
    <m/>
    <m/>
    <n v="71095"/>
    <m/>
    <n v="71095"/>
    <n v="71731.239999999991"/>
    <n v="0"/>
    <n v="0"/>
    <n v="0"/>
    <n v="0"/>
    <n v="0"/>
    <n v="28012.158314910179"/>
    <n v="43082.725027791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1731.239999999991"/>
    <n v="636.2100000000064"/>
    <m/>
    <m/>
    <m/>
    <m/>
    <n v="636.23999999999671"/>
    <n v="0"/>
    <n v="31"/>
    <n v="6024.6233261257003"/>
    <n v="0"/>
    <n v="0"/>
    <n v="0"/>
    <n v="0"/>
    <m/>
    <m/>
    <m/>
    <n v="6024.6233261257003"/>
    <n v="0"/>
    <n v="0"/>
    <m/>
    <m/>
    <n v="0"/>
    <n v="0"/>
    <n v="0"/>
    <n v="0"/>
    <n v="0"/>
    <m/>
    <n v="0"/>
    <n v="0"/>
    <m/>
    <n v="0"/>
    <n v="0"/>
    <n v="0"/>
    <n v="0"/>
    <n v="1245.5501123457871"/>
    <m/>
    <m/>
    <n v="43082.725027791923"/>
    <m/>
    <n v="0"/>
    <n v="0"/>
    <n v="636.23999999999069"/>
    <m/>
    <n v="0"/>
    <m/>
    <n v="-6635.490092693187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7"/>
    <s v="Regular"/>
    <s v="Convencional"/>
    <s v="B3"/>
    <s v="Comercial"/>
    <s v="Não se aplica"/>
    <s v="Não se aplica"/>
    <s v="Não se aplica"/>
    <s v="Não se aplica"/>
    <s v="CATIVO"/>
    <x v="1"/>
    <n v="0"/>
    <n v="0"/>
    <n v="88.447000000000003"/>
    <n v="88.447000000000003"/>
    <n v="88.447000000000003"/>
    <n v="88.447000000000003"/>
    <m/>
    <n v="897.25"/>
    <n v="207.07"/>
    <m/>
    <n v="97673.791039999996"/>
    <n v="97673.791039999996"/>
    <n v="97970.088489999995"/>
    <n v="0"/>
    <n v="6966.1080225050964"/>
    <n v="0"/>
    <n v="0"/>
    <n v="0"/>
    <n v="17649.348079874206"/>
    <n v="50741.627137119875"/>
    <n v="18315.159891896459"/>
    <n v="0"/>
    <n v="0"/>
    <n v="0"/>
    <n v="0"/>
    <n v="0"/>
    <n v="885.25979994430418"/>
    <m/>
    <n v="246.32050698641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0.1339958101667"/>
    <n v="0"/>
    <n v="127.85"/>
    <n v="591.39"/>
    <n v="0"/>
    <n v="232"/>
    <m/>
    <m/>
    <m/>
    <m/>
    <m/>
    <m/>
    <m/>
    <m/>
    <m/>
    <n v="21185.293887706626"/>
    <m/>
    <m/>
    <m/>
    <m/>
    <m/>
    <m/>
    <m/>
    <m/>
    <m/>
    <m/>
    <m/>
    <m/>
    <n v="97973.411500000002"/>
    <n v="299.59046000002127"/>
    <m/>
    <m/>
    <m/>
    <m/>
    <n v="-2641.9118900000003"/>
    <n v="2938.2093399999999"/>
    <n v="31"/>
    <n v="6563.5740058135925"/>
    <n v="0"/>
    <n v="0"/>
    <n v="0"/>
    <n v="0"/>
    <n v="0"/>
    <n v="0"/>
    <n v="0"/>
    <n v="3795.8758099809165"/>
    <n v="0"/>
    <n v="0"/>
    <n v="2780.397355271718"/>
    <n v="0"/>
    <n v="0"/>
    <n v="0"/>
    <n v="435.71080014194195"/>
    <n v="0"/>
    <n v="-382.60547679498814"/>
    <m/>
    <n v="0"/>
    <n v="0"/>
    <n v="0"/>
    <n v="0"/>
    <n v="-48.899108879851497"/>
    <n v="-16.905373906139204"/>
    <n v="0"/>
    <n v="1547.8933020520224"/>
    <m/>
    <m/>
    <m/>
    <n v="50741.627137119875"/>
    <n v="0"/>
    <n v="0"/>
    <n v="-2641.911890000003"/>
    <n v="2938.2093399999976"/>
    <n v="0"/>
    <n v="0"/>
    <n v="-7815.094424465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8600000000000005"/>
    <n v="0.68600000000000005"/>
    <n v="0.68600000000000005"/>
    <n v="0.68600000000000005"/>
    <m/>
    <n v="897.25"/>
    <n v="207.07"/>
    <m/>
    <n v="757.56352000000004"/>
    <n v="757.56352000000004"/>
    <n v="759.86162000000002"/>
    <n v="0"/>
    <n v="54.029532979507458"/>
    <n v="0"/>
    <n v="0"/>
    <n v="0"/>
    <n v="136.88935501253525"/>
    <n v="393.55496756322134"/>
    <n v="142.05342957749806"/>
    <n v="0"/>
    <n v="0"/>
    <n v="0"/>
    <n v="0"/>
    <n v="0"/>
    <n v="6.8661257336234431"/>
    <m/>
    <n v="1.9104759663151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0923729756513"/>
    <n v="0"/>
    <n v="11.7"/>
    <n v="54.04"/>
    <n v="0"/>
    <n v="6"/>
    <m/>
    <m/>
    <m/>
    <m/>
    <m/>
    <m/>
    <m/>
    <m/>
    <m/>
    <n v="164.31435330725458"/>
    <m/>
    <m/>
    <m/>
    <m/>
    <m/>
    <m/>
    <m/>
    <m/>
    <m/>
    <m/>
    <m/>
    <m/>
    <n v="764.29229999999984"/>
    <n v="6.6987799999998288"/>
    <m/>
    <m/>
    <m/>
    <m/>
    <n v="-20.490820000000006"/>
    <n v="22.788920000000001"/>
    <n v="31"/>
    <n v="50.907456080908617"/>
    <n v="0"/>
    <n v="0"/>
    <n v="0"/>
    <n v="0"/>
    <n v="0"/>
    <n v="0"/>
    <n v="0"/>
    <n v="29.441030285333682"/>
    <n v="0"/>
    <n v="0"/>
    <n v="21.564921203844079"/>
    <n v="0"/>
    <n v="0"/>
    <n v="0"/>
    <n v="3.379397932065217"/>
    <n v="0"/>
    <n v="-2.9675100012590789"/>
    <m/>
    <n v="0"/>
    <n v="0"/>
    <n v="0"/>
    <n v="0"/>
    <n v="-0.37926429038382459"/>
    <n v="-0.13111904869143665"/>
    <n v="0"/>
    <n v="12.005549144772433"/>
    <m/>
    <m/>
    <m/>
    <n v="393.55496756322134"/>
    <n v="0"/>
    <n v="0"/>
    <n v="-20.490819999999985"/>
    <n v="22.78891999999999"/>
    <n v="0"/>
    <n v="0"/>
    <n v="-60.6143201599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9"/>
    <s v="Regular"/>
    <s v="Azul"/>
    <s v="A4"/>
    <s v="Comercial"/>
    <s v="Não se aplica"/>
    <s v="Não se aplica"/>
    <s v="Não se aplica"/>
    <s v="Ponta"/>
    <s v="CATIVO"/>
    <x v="1"/>
    <n v="100"/>
    <n v="100"/>
    <n v="3.3570000000000002"/>
    <n v="3.3570000000000002"/>
    <n v="3.3570000000000002"/>
    <n v="3.3570000000000002"/>
    <n v="193.63"/>
    <n v="94.17"/>
    <n v="207.07"/>
    <n v="19363"/>
    <n v="1011.26268"/>
    <n v="20374.26268"/>
    <n v="19815.465889999999"/>
    <n v="0"/>
    <n v="230.02640484638414"/>
    <n v="0"/>
    <n v="0"/>
    <n v="0"/>
    <n v="5352.7545792855199"/>
    <n v="14009.762805225198"/>
    <n v="695.15067506073035"/>
    <n v="0"/>
    <n v="0"/>
    <n v="0"/>
    <n v="0"/>
    <n v="0"/>
    <n v="33.599976804335128"/>
    <m/>
    <n v="6.073951540216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21972478570083"/>
    <n v="0"/>
    <n v="0"/>
    <n v="0"/>
    <n v="0"/>
    <n v="0"/>
    <m/>
    <m/>
    <m/>
    <m/>
    <m/>
    <m/>
    <m/>
    <m/>
    <m/>
    <n v="741.57264753930042"/>
    <m/>
    <m/>
    <m/>
    <m/>
    <m/>
    <m/>
    <m/>
    <m/>
    <m/>
    <m/>
    <m/>
    <m/>
    <n v="19816.467199999999"/>
    <n v="-557.82547999999588"/>
    <m/>
    <m/>
    <m/>
    <m/>
    <n v="-670.31633000000068"/>
    <n v="111.51954000000001"/>
    <n v="31"/>
    <n v="1248.8964673287282"/>
    <n v="0"/>
    <n v="0"/>
    <n v="0"/>
    <n v="0"/>
    <n v="0"/>
    <n v="0"/>
    <n v="0"/>
    <n v="1151.2261831043998"/>
    <n v="0"/>
    <n v="0"/>
    <n v="105.52979661997756"/>
    <n v="0"/>
    <n v="0"/>
    <n v="0"/>
    <n v="7.0472510350850968"/>
    <n v="0"/>
    <n v="-12.633935910462384"/>
    <m/>
    <n v="0"/>
    <n v="0"/>
    <n v="0"/>
    <n v="0"/>
    <n v="-1.8559624239336721"/>
    <n v="-0.41686509633888047"/>
    <n v="0"/>
    <n v="350.74114176281466"/>
    <m/>
    <m/>
    <n v="14009.762805225198"/>
    <n v="0"/>
    <n v="0"/>
    <n v="0"/>
    <n v="-670.31633000000147"/>
    <n v="111.51954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0"/>
    <s v="Regular"/>
    <s v="Azul"/>
    <s v="A4"/>
    <s v="Comercial"/>
    <s v="Não se aplica"/>
    <s v="Não se aplica"/>
    <s v="Não se aplica"/>
    <s v="Fora ponta"/>
    <s v="CATIVO"/>
    <x v="1"/>
    <n v="100"/>
    <n v="100"/>
    <n v="30.492000000000001"/>
    <n v="30.492000000000001"/>
    <n v="30.492000000000001"/>
    <n v="30.492000000000001"/>
    <n v="73.75"/>
    <n v="94.17"/>
    <n v="207.07"/>
    <n v="7375"/>
    <n v="9185.4100799999997"/>
    <n v="16560.410080000001"/>
    <n v="17618.314839999999"/>
    <n v="0"/>
    <n v="2089.3551196234571"/>
    <n v="0"/>
    <n v="0"/>
    <n v="0"/>
    <n v="2905.8255513392301"/>
    <n v="4469.1623472813199"/>
    <n v="6314.1299922406288"/>
    <n v="0"/>
    <n v="0"/>
    <n v="0"/>
    <n v="0"/>
    <n v="0"/>
    <n v="305.19228260881346"/>
    <m/>
    <n v="55.170369485938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55878706154"/>
    <n v="0"/>
    <n v="0"/>
    <n v="0"/>
    <n v="0"/>
    <n v="0"/>
    <m/>
    <m/>
    <m/>
    <m/>
    <m/>
    <m/>
    <m/>
    <m/>
    <m/>
    <n v="6735.7858709467828"/>
    <m/>
    <m/>
    <m/>
    <m/>
    <m/>
    <m/>
    <m/>
    <m/>
    <m/>
    <m/>
    <m/>
    <m/>
    <n v="17617.647300000001"/>
    <n v="1057.2072200000002"/>
    <m/>
    <m/>
    <m/>
    <m/>
    <n v="44.960519999999732"/>
    <n v="1012.94424"/>
    <n v="31"/>
    <n v="1512.1108534319628"/>
    <n v="0"/>
    <n v="0"/>
    <n v="0"/>
    <n v="0"/>
    <n v="0"/>
    <n v="0"/>
    <n v="0"/>
    <n v="624.9609259466497"/>
    <n v="0"/>
    <n v="0"/>
    <n v="958.53874248923239"/>
    <n v="0"/>
    <n v="0"/>
    <n v="0"/>
    <n v="64.010955782488736"/>
    <n v="0"/>
    <n v="-114.75542859154575"/>
    <m/>
    <n v="0"/>
    <n v="0"/>
    <n v="0"/>
    <n v="0"/>
    <n v="-16.857910703183109"/>
    <n v="-3.7864314916786199"/>
    <n v="0"/>
    <n v="233.83132306448792"/>
    <m/>
    <m/>
    <n v="4469.1623472813199"/>
    <n v="0"/>
    <n v="0"/>
    <n v="0"/>
    <n v="44.960519999998724"/>
    <n v="1012.9442399999998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1"/>
    <s v="Regular"/>
    <s v="Azul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2.05"/>
    <n v="1209.5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1"/>
    <n v="0"/>
    <n v="0"/>
    <n v="0.47099999999999997"/>
    <n v="0.47099999999999997"/>
    <n v="0.47099999999999997"/>
    <n v="0.47099999999999997"/>
    <m/>
    <n v="4750.8599999999997"/>
    <n v="207.07"/>
    <m/>
    <n v="2335.1850299999996"/>
    <n v="2335.1850299999996"/>
    <n v="2274.9158700000003"/>
    <n v="0"/>
    <n v="32.273588526257647"/>
    <n v="0"/>
    <n v="0"/>
    <n v="0"/>
    <n v="606.33596717644127"/>
    <n v="1586.965629743095"/>
    <n v="97.532310978136422"/>
    <n v="0"/>
    <n v="0"/>
    <n v="0"/>
    <n v="0"/>
    <n v="0"/>
    <n v="4.7142058608405852"/>
    <m/>
    <n v="0.8521987415675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131811252327996"/>
    <n v="0"/>
    <n v="0"/>
    <n v="0"/>
    <n v="0"/>
    <n v="0"/>
    <m/>
    <m/>
    <m/>
    <m/>
    <m/>
    <m/>
    <m/>
    <m/>
    <m/>
    <n v="104.04549210336923"/>
    <m/>
    <m/>
    <m/>
    <m/>
    <m/>
    <m/>
    <m/>
    <m/>
    <m/>
    <m/>
    <m/>
    <m/>
    <n v="2270.0859"/>
    <n v="-65.129130000000259"/>
    <m/>
    <m/>
    <m/>
    <m/>
    <n v="-75.9157799999997"/>
    <n v="15.646619999999999"/>
    <n v="31"/>
    <n v="144.1092411048628"/>
    <n v="0"/>
    <n v="0"/>
    <n v="0"/>
    <n v="0"/>
    <n v="0"/>
    <n v="0"/>
    <n v="0"/>
    <n v="130.40572490895624"/>
    <n v="0"/>
    <n v="0"/>
    <n v="14.806235986895857"/>
    <n v="0"/>
    <n v="0"/>
    <n v="0"/>
    <n v="0.98875640081176019"/>
    <n v="0"/>
    <n v="-1.7725897568745275"/>
    <m/>
    <n v="0"/>
    <n v="0"/>
    <n v="0"/>
    <n v="0"/>
    <n v="-0.26039866001571621"/>
    <n v="-5.8487774910817025E-2"/>
    <n v="0"/>
    <n v="40.041755713111378"/>
    <m/>
    <m/>
    <m/>
    <n v="1586.965629743095"/>
    <n v="0"/>
    <n v="0"/>
    <n v="-75.915779999999359"/>
    <n v="15.646619999999999"/>
    <n v="0"/>
    <n v="0"/>
    <n v="-244.4203496137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1"/>
    <n v="0"/>
    <n v="0"/>
    <n v="74.941999999999993"/>
    <n v="74.941999999999993"/>
    <n v="74.941999999999993"/>
    <n v="74.941999999999993"/>
    <m/>
    <n v="94.17"/>
    <n v="207.07"/>
    <m/>
    <n v="22575.528079999996"/>
    <n v="22575.528079999996"/>
    <n v="25013.391339999998"/>
    <n v="0"/>
    <n v="5135.132210901912"/>
    <n v="0"/>
    <n v="0"/>
    <n v="0"/>
    <n v="0"/>
    <n v="0"/>
    <n v="15518.612418945859"/>
    <n v="0"/>
    <n v="0"/>
    <n v="0"/>
    <n v="0"/>
    <n v="0"/>
    <n v="750.08920514461806"/>
    <m/>
    <n v="135.5954948844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6.3287046437292"/>
    <n v="0"/>
    <n v="0"/>
    <n v="0"/>
    <n v="0"/>
    <n v="0"/>
    <m/>
    <m/>
    <m/>
    <m/>
    <m/>
    <m/>
    <m/>
    <m/>
    <m/>
    <n v="16554.94112358959"/>
    <m/>
    <m/>
    <m/>
    <m/>
    <m/>
    <m/>
    <m/>
    <m/>
    <m/>
    <m/>
    <m/>
    <m/>
    <n v="25012.7238"/>
    <n v="2437.1657200000045"/>
    <m/>
    <m/>
    <m/>
    <m/>
    <n v="-51.709979999999824"/>
    <n v="2489.5732399999997"/>
    <n v="31"/>
    <n v="2180.4010844026125"/>
    <n v="0"/>
    <n v="0"/>
    <n v="0"/>
    <n v="0"/>
    <n v="0"/>
    <n v="0"/>
    <n v="0"/>
    <n v="0"/>
    <n v="0"/>
    <n v="0"/>
    <n v="2355.8576164117821"/>
    <n v="0"/>
    <n v="0"/>
    <n v="0"/>
    <n v="157.32352906504229"/>
    <n v="0"/>
    <n v="-282.04123473395066"/>
    <m/>
    <n v="0"/>
    <n v="0"/>
    <n v="0"/>
    <n v="0"/>
    <n v="-41.432688702543146"/>
    <n v="-9.3061376377206813"/>
    <n v="0"/>
    <n v="257.14278327427076"/>
    <m/>
    <m/>
    <m/>
    <n v="0"/>
    <n v="0"/>
    <n v="0"/>
    <n v="-51.709979999999632"/>
    <n v="2489.5732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1"/>
    <n v="392"/>
    <n v="392"/>
    <n v="0"/>
    <n v="0"/>
    <n v="0"/>
    <n v="0"/>
    <n v="73.75"/>
    <m/>
    <m/>
    <n v="28910"/>
    <m/>
    <n v="28910"/>
    <n v="29168.719999999998"/>
    <n v="0"/>
    <n v="0"/>
    <n v="0"/>
    <n v="0"/>
    <n v="0"/>
    <n v="11390.836161249781"/>
    <n v="17519.1164013427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168.719999999998"/>
    <n v="258.69000000000233"/>
    <m/>
    <m/>
    <m/>
    <m/>
    <n v="258.71999999999866"/>
    <n v="0"/>
    <n v="31"/>
    <n v="2449.8468297108684"/>
    <n v="0"/>
    <n v="0"/>
    <n v="0"/>
    <n v="0"/>
    <m/>
    <m/>
    <m/>
    <n v="2449.8468297108684"/>
    <n v="0"/>
    <n v="0"/>
    <m/>
    <m/>
    <n v="0"/>
    <n v="0"/>
    <n v="0"/>
    <n v="0"/>
    <n v="0"/>
    <m/>
    <n v="0"/>
    <n v="0"/>
    <m/>
    <n v="0"/>
    <n v="0"/>
    <n v="0"/>
    <n v="0"/>
    <n v="506.48925730243627"/>
    <m/>
    <m/>
    <n v="17519.116401342773"/>
    <m/>
    <n v="0"/>
    <n v="0"/>
    <n v="258.71999999999753"/>
    <m/>
    <n v="0"/>
    <m/>
    <n v="-2698.2490833358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65"/>
    <s v="Regular"/>
    <s v="Branca"/>
    <s v="B3"/>
    <s v="Comercial"/>
    <s v="Não se aplica"/>
    <s v="Não se aplica"/>
    <s v="Não se aplica"/>
    <s v="Ponta"/>
    <s v="CATIVO"/>
    <x v="1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1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Fora ponta"/>
    <s v="CATIVO"/>
    <x v="1"/>
    <n v="0"/>
    <n v="0"/>
    <n v="0.23599999999999999"/>
    <n v="0.23599999999999999"/>
    <n v="0.23599999999999999"/>
    <n v="0.23599999999999999"/>
    <m/>
    <n v="595.67999999999995"/>
    <n v="207.07"/>
    <m/>
    <n v="189.44899999999998"/>
    <n v="189.44899999999998"/>
    <n v="193.17543999999998"/>
    <n v="0"/>
    <n v="18.587419508985072"/>
    <n v="0"/>
    <n v="0"/>
    <n v="0"/>
    <n v="28.726569229182431"/>
    <n v="82.589164799705415"/>
    <n v="48.869692974183003"/>
    <n v="0"/>
    <n v="0"/>
    <n v="0"/>
    <n v="0"/>
    <n v="0"/>
    <n v="2.3621073952407179"/>
    <m/>
    <n v="0.65724829161863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82769682544267"/>
    <n v="0"/>
    <n v="0"/>
    <n v="0"/>
    <n v="0"/>
    <n v="0"/>
    <m/>
    <m/>
    <m/>
    <m/>
    <m/>
    <m/>
    <m/>
    <m/>
    <m/>
    <n v="56.52796994243743"/>
    <m/>
    <m/>
    <m/>
    <m/>
    <m/>
    <m/>
    <m/>
    <m/>
    <m/>
    <m/>
    <m/>
    <m/>
    <n v="196.4496"/>
    <n v="6.9706000000000472"/>
    <m/>
    <m/>
    <m/>
    <m/>
    <n v="-4.1134799999999876"/>
    <n v="7.8399199999999993"/>
    <n v="31"/>
    <n v="13.5632240651167"/>
    <n v="0"/>
    <n v="0"/>
    <n v="0"/>
    <n v="0"/>
    <n v="0"/>
    <n v="0"/>
    <n v="0"/>
    <n v="6.1782729167847634"/>
    <n v="0"/>
    <n v="0"/>
    <n v="7.4188358660454838"/>
    <n v="0"/>
    <n v="0"/>
    <n v="0"/>
    <n v="1.162591708407275"/>
    <n v="0"/>
    <n v="-1.0208926534943785"/>
    <m/>
    <n v="0"/>
    <n v="0"/>
    <n v="0"/>
    <n v="0"/>
    <n v="-0.13047576170638875"/>
    <n v="-4.5108010920085984E-2"/>
    <n v="0"/>
    <n v="2.8833318222786777"/>
    <m/>
    <m/>
    <m/>
    <n v="82.589164799705415"/>
    <n v="0"/>
    <n v="0"/>
    <n v="-4.1134800000000098"/>
    <n v="7.8399199999999993"/>
    <n v="0"/>
    <n v="0"/>
    <n v="-12.72016996229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Intermediário"/>
    <s v="CATIVO"/>
    <x v="1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n v="31"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9"/>
    <s v="Regular"/>
    <s v="Convencional"/>
    <s v="B2"/>
    <s v="Rural"/>
    <s v="Não se aplica"/>
    <s v="Não se aplica"/>
    <s v="Não se aplica"/>
    <s v="Não se aplica"/>
    <s v="CATIVO"/>
    <x v="1"/>
    <n v="0"/>
    <n v="0"/>
    <n v="43.643999999999998"/>
    <n v="43.643999999999998"/>
    <n v="43.643999999999998"/>
    <n v="43.643999999999998"/>
    <m/>
    <n v="897.25"/>
    <n v="207.07"/>
    <m/>
    <n v="48196.942079999993"/>
    <n v="48196.942079999993"/>
    <n v="48343.149479999993"/>
    <n v="0"/>
    <n v="3437.4124451277307"/>
    <n v="0"/>
    <n v="0"/>
    <n v="0"/>
    <n v="8709.0364579695161"/>
    <n v="25038.357149167972"/>
    <n v="9037.5800007001817"/>
    <n v="0"/>
    <n v="0"/>
    <n v="0"/>
    <n v="0"/>
    <n v="0"/>
    <n v="436.82972524527918"/>
    <m/>
    <n v="121.54637474323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2620339088821"/>
    <n v="0"/>
    <n v="25.81"/>
    <n v="119.4"/>
    <n v="0"/>
    <n v="167"/>
    <m/>
    <m/>
    <m/>
    <m/>
    <m/>
    <n v="5801.1604800000005"/>
    <m/>
    <m/>
    <m/>
    <n v="10453.842034609064"/>
    <m/>
    <m/>
    <m/>
    <m/>
    <m/>
    <m/>
    <m/>
    <m/>
    <m/>
    <m/>
    <m/>
    <m/>
    <n v="42538.09"/>
    <n v="124.38435999999638"/>
    <m/>
    <m/>
    <m/>
    <m/>
    <n v="-1303.6462800000002"/>
    <n v="1449.8536799999999"/>
    <n v="31"/>
    <n v="3238.7828180687684"/>
    <n v="0"/>
    <n v="0"/>
    <n v="0"/>
    <n v="0"/>
    <n v="0"/>
    <n v="0"/>
    <n v="0"/>
    <n v="1873.0675302814907"/>
    <n v="0"/>
    <n v="0"/>
    <n v="1371.9816632952934"/>
    <n v="0"/>
    <n v="0"/>
    <n v="0"/>
    <n v="215.00064627850497"/>
    <n v="0"/>
    <n v="-188.79592783520593"/>
    <m/>
    <n v="0"/>
    <n v="0"/>
    <n v="0"/>
    <n v="0"/>
    <n v="-24.129170101328896"/>
    <n v="-8.341923849984056"/>
    <n v="0"/>
    <n v="763.80493713476392"/>
    <m/>
    <m/>
    <m/>
    <n v="25038.357149167972"/>
    <n v="0"/>
    <n v="0"/>
    <n v="-1303.6462800000008"/>
    <n v="1449.8536800000002"/>
    <n v="0"/>
    <n v="0"/>
    <n v="-3856.3431327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23200000000000001"/>
    <n v="-0.23200000000000001"/>
    <n v="-0.23200000000000001"/>
    <n v="-0.23200000000000001"/>
    <m/>
    <n v="897.25"/>
    <n v="207.07"/>
    <m/>
    <n v="-256.20224000000002"/>
    <n v="-256.20224000000002"/>
    <n v="-256.97944000000001"/>
    <n v="0"/>
    <n v="-18.272378500358208"/>
    <n v="0"/>
    <n v="0"/>
    <n v="0"/>
    <n v="-46.294942219982765"/>
    <n v="-133.0973068143839"/>
    <n v="-48.041393093264652"/>
    <n v="0"/>
    <n v="0"/>
    <n v="0"/>
    <n v="0"/>
    <n v="0"/>
    <n v="-2.3220716766773162"/>
    <m/>
    <n v="-0.64610849006577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284756637077423"/>
    <n v="0"/>
    <n v="0"/>
    <n v="0"/>
    <n v="0"/>
    <n v="0"/>
    <m/>
    <m/>
    <m/>
    <m/>
    <m/>
    <n v="-30.837440000000004"/>
    <m/>
    <m/>
    <m/>
    <n v="-55.569868756972397"/>
    <m/>
    <m/>
    <m/>
    <m/>
    <m/>
    <m/>
    <m/>
    <m/>
    <m/>
    <m/>
    <m/>
    <m/>
    <n v="-224.1925"/>
    <n v="1.2374200000000428"/>
    <m/>
    <m/>
    <m/>
    <m/>
    <n v="6.9298400000000013"/>
    <n v="-7.7070400000000001"/>
    <n v="31"/>
    <n v="-17.216515759141117"/>
    <n v="0"/>
    <n v="0"/>
    <n v="0"/>
    <n v="0"/>
    <n v="0"/>
    <n v="0"/>
    <n v="0"/>
    <n v="-9.9567332743402588"/>
    <n v="0"/>
    <n v="0"/>
    <n v="-7.2930928852650538"/>
    <n v="0"/>
    <n v="0"/>
    <n v="0"/>
    <n v="-1.1428867641969829"/>
    <n v="0"/>
    <n v="1.003589388180913"/>
    <m/>
    <n v="0"/>
    <n v="0"/>
    <n v="0"/>
    <n v="0"/>
    <n v="0.12826430811814493"/>
    <n v="4.4343468362118554E-2"/>
    <n v="0"/>
    <n v="-4.0601857165994231"/>
    <m/>
    <m/>
    <m/>
    <n v="-133.0973068143839"/>
    <n v="0"/>
    <n v="0"/>
    <n v="6.9298399999999845"/>
    <n v="-7.7070399999999992"/>
    <n v="0"/>
    <n v="0"/>
    <n v="20.49930361093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0.246"/>
    <n v="0.246"/>
    <n v="0.246"/>
    <n v="0.246"/>
    <m/>
    <n v="897.25"/>
    <n v="207.07"/>
    <m/>
    <n v="271.66271999999998"/>
    <n v="271.66271999999998"/>
    <n v="272.48681999999997"/>
    <n v="0"/>
    <n v="19.375022030552234"/>
    <n v="0"/>
    <n v="0"/>
    <n v="0"/>
    <n v="49.088602526361029"/>
    <n v="141.12904084628636"/>
    <n v="50.940442676478895"/>
    <n v="0"/>
    <n v="0"/>
    <n v="0"/>
    <n v="0"/>
    <n v="0"/>
    <n v="2.4621966916492228"/>
    <m/>
    <n v="0.68509779550077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827802296211399"/>
    <n v="0"/>
    <n v="0"/>
    <n v="0"/>
    <n v="0"/>
    <n v="3"/>
    <m/>
    <m/>
    <m/>
    <m/>
    <m/>
    <n v="32.698320000000002"/>
    <m/>
    <m/>
    <m/>
    <n v="58.923222906100037"/>
    <m/>
    <m/>
    <m/>
    <m/>
    <m/>
    <m/>
    <m/>
    <m/>
    <m/>
    <m/>
    <m/>
    <m/>
    <n v="243.6875"/>
    <n v="4.5922400000000323"/>
    <m/>
    <m/>
    <m/>
    <m/>
    <n v="-7.3480200000000009"/>
    <n v="8.1721199999999996"/>
    <n v="31"/>
    <n v="18.255443434261679"/>
    <n v="0"/>
    <n v="0"/>
    <n v="0"/>
    <n v="0"/>
    <n v="0"/>
    <n v="0"/>
    <n v="0"/>
    <n v="10.557570627102173"/>
    <n v="0"/>
    <n v="0"/>
    <n v="7.733193317996566"/>
    <n v="0"/>
    <n v="0"/>
    <n v="0"/>
    <n v="1.2118540689330075"/>
    <n v="0"/>
    <n v="-1.0641508167780351"/>
    <m/>
    <n v="0"/>
    <n v="0"/>
    <n v="0"/>
    <n v="0"/>
    <n v="-0.13600439567699851"/>
    <n v="-4.7019367315005001E-2"/>
    <n v="0"/>
    <n v="4.3051969236355951"/>
    <m/>
    <m/>
    <m/>
    <n v="141.12904084628636"/>
    <n v="0"/>
    <n v="0"/>
    <n v="-7.3480200000000195"/>
    <n v="8.1721199999999996"/>
    <n v="0"/>
    <n v="0"/>
    <n v="-21.736330552970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6"/>
    <n v="16"/>
    <n v="16"/>
    <n v="16"/>
    <m/>
    <n v="897.25"/>
    <n v="207.07"/>
    <m/>
    <n v="17669.12"/>
    <n v="17669.12"/>
    <n v="17722.72"/>
    <n v="0"/>
    <n v="1260.1640345074625"/>
    <n v="0"/>
    <n v="0"/>
    <n v="0"/>
    <n v="3192.7546358608802"/>
    <n v="9179.1246078885433"/>
    <n v="3313.1995236734242"/>
    <n v="0"/>
    <n v="0"/>
    <n v="0"/>
    <n v="0"/>
    <n v="0"/>
    <n v="160.142874253608"/>
    <m/>
    <n v="44.559206211432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.20521818674081"/>
    <n v="0"/>
    <n v="119.52"/>
    <n v="552.44000000000005"/>
    <n v="0"/>
    <n v="33"/>
    <m/>
    <m/>
    <m/>
    <m/>
    <m/>
    <m/>
    <m/>
    <m/>
    <m/>
    <n v="3832.4047418601649"/>
    <m/>
    <m/>
    <m/>
    <m/>
    <m/>
    <m/>
    <m/>
    <m/>
    <m/>
    <m/>
    <m/>
    <m/>
    <n v="17722.72"/>
    <n v="53.570000000003347"/>
    <m/>
    <m/>
    <m/>
    <m/>
    <n v="-477.92000000000007"/>
    <n v="531.52"/>
    <n v="31"/>
    <n v="1187.3459144235276"/>
    <n v="0"/>
    <n v="0"/>
    <n v="0"/>
    <n v="0"/>
    <n v="0"/>
    <n v="0"/>
    <n v="0"/>
    <n v="686.67126029932797"/>
    <n v="0"/>
    <n v="0"/>
    <n v="502.97192312172774"/>
    <n v="0"/>
    <n v="0"/>
    <n v="0"/>
    <n v="78.819776841171233"/>
    <n v="0"/>
    <n v="-69.21306125385604"/>
    <m/>
    <n v="0"/>
    <n v="0"/>
    <n v="0"/>
    <n v="0"/>
    <n v="-8.8458143529755091"/>
    <n v="-3.0581702318702426"/>
    <n v="0"/>
    <n v="280.0128080413395"/>
    <m/>
    <m/>
    <m/>
    <n v="9179.1246078885433"/>
    <n v="0"/>
    <n v="0"/>
    <n v="-477.92000000000007"/>
    <n v="531.52"/>
    <n v="0"/>
    <n v="0"/>
    <n v="-1413.745076615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1.803"/>
    <n v="291.803"/>
    <n v="291.803"/>
    <n v="291.803"/>
    <m/>
    <n v="493.49"/>
    <n v="113.89"/>
    <m/>
    <n v="177235.30614"/>
    <n v="177235.30614"/>
    <n v="177772.22365999999"/>
    <n v="0"/>
    <n v="12640.362823047466"/>
    <n v="0"/>
    <n v="0"/>
    <n v="0"/>
    <n v="32025.653722153933"/>
    <n v="92073.303367227301"/>
    <n v="33233.803645847634"/>
    <n v="0"/>
    <n v="0"/>
    <n v="0"/>
    <n v="0"/>
    <n v="0"/>
    <n v="1606.3496327940027"/>
    <m/>
    <n v="446.96128297269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8.0063847124984"/>
    <n v="0"/>
    <n v="1281.3499999999999"/>
    <n v="5913.99"/>
    <n v="0"/>
    <n v="3"/>
    <m/>
    <m/>
    <m/>
    <m/>
    <m/>
    <m/>
    <m/>
    <m/>
    <m/>
    <n v="38441.810030560133"/>
    <m/>
    <m/>
    <m/>
    <m/>
    <m/>
    <m/>
    <m/>
    <m/>
    <m/>
    <m/>
    <m/>
    <m/>
    <n v="177770.39600000001"/>
    <n v="535.05985999997938"/>
    <m/>
    <m/>
    <m/>
    <m/>
    <n v="-4794.3232900000021"/>
    <n v="5331.2408099999984"/>
    <n v="31"/>
    <n v="11909.944057911664"/>
    <n v="0"/>
    <n v="0"/>
    <n v="0"/>
    <n v="0"/>
    <n v="0"/>
    <n v="0"/>
    <n v="0"/>
    <n v="6887.8127233135456"/>
    <n v="0"/>
    <n v="0"/>
    <n v="5045.1746153423301"/>
    <n v="0"/>
    <n v="0"/>
    <n v="0"/>
    <n v="790.61975236697072"/>
    <n v="0"/>
    <n v="-694.25740013639916"/>
    <m/>
    <n v="0"/>
    <n v="0"/>
    <n v="0"/>
    <n v="0"/>
    <n v="-88.729958818919158"/>
    <n v="-30.675674155858758"/>
    <n v="0"/>
    <n v="2808.7323489804953"/>
    <m/>
    <m/>
    <m/>
    <n v="92073.303367227301"/>
    <n v="0"/>
    <n v="0"/>
    <n v="-4794.3232900000003"/>
    <n v="5331.2408099999957"/>
    <n v="0"/>
    <n v="0"/>
    <n v="-14180.89250159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2.119"/>
    <n v="20.79186"/>
    <n v="22.119"/>
    <n v="20.79186"/>
    <m/>
    <n v="897.25"/>
    <n v="207.07"/>
    <m/>
    <n v="24426.45408"/>
    <n v="24426.45408"/>
    <n v="24500.552729999999"/>
    <n v="0"/>
    <n v="1742.0980174544102"/>
    <n v="0"/>
    <n v="0"/>
    <n v="0"/>
    <n v="4413.7837369129256"/>
    <n v="12689.566075117918"/>
    <n v="4580.2912665082795"/>
    <n v="0"/>
    <n v="0"/>
    <n v="0"/>
    <n v="0"/>
    <n v="0"/>
    <n v="221.38751472597221"/>
    <m/>
    <n v="61.60031763691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7.76876381703244"/>
    <n v="0"/>
    <n v="9.76"/>
    <n v="45.05"/>
    <n v="0"/>
    <n v="3"/>
    <m/>
    <m/>
    <m/>
    <m/>
    <n v="1470.0331637999998"/>
    <m/>
    <m/>
    <m/>
    <m/>
    <n v="5298.0600303253123"/>
    <m/>
    <m/>
    <m/>
    <m/>
    <m/>
    <m/>
    <m/>
    <m/>
    <m/>
    <m/>
    <m/>
    <m/>
    <n v="23028.459299999999"/>
    <n v="67.562464800004818"/>
    <m/>
    <m/>
    <m/>
    <m/>
    <n v="-660.6945300000001"/>
    <n v="734.79318000000001"/>
    <n v="31"/>
    <n v="1641.4315175708725"/>
    <n v="0"/>
    <n v="0"/>
    <n v="0"/>
    <n v="0"/>
    <n v="0"/>
    <n v="0"/>
    <n v="0"/>
    <n v="949.280100410052"/>
    <n v="0"/>
    <n v="0"/>
    <n v="695.32724797059291"/>
    <n v="0"/>
    <n v="0"/>
    <n v="0"/>
    <n v="108.9634152468667"/>
    <n v="0"/>
    <n v="-95.682731367127644"/>
    <m/>
    <n v="0"/>
    <n v="0"/>
    <n v="0"/>
    <n v="0"/>
    <n v="-12.228785479591579"/>
    <n v="-4.2277292099211152"/>
    <n v="0"/>
    <n v="387.10020631664929"/>
    <m/>
    <m/>
    <m/>
    <n v="12689.566075117918"/>
    <n v="0"/>
    <n v="0"/>
    <n v="-660.69453000000067"/>
    <n v="734.79318000000058"/>
    <n v="0"/>
    <n v="0"/>
    <n v="-1954.414209354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.657"/>
    <n v="1.55758"/>
    <n v="1.657"/>
    <n v="1.55758"/>
    <m/>
    <n v="4750.8599999999997"/>
    <n v="207.07"/>
    <m/>
    <n v="8215.2900099999988"/>
    <n v="8215.2900099999988"/>
    <n v="8003.2602900000011"/>
    <n v="0"/>
    <n v="113.53999190660069"/>
    <n v="0"/>
    <n v="0"/>
    <n v="0"/>
    <n v="2133.1182539519386"/>
    <n v="5583.0192112193381"/>
    <n v="343.12322567042901"/>
    <n v="0"/>
    <n v="0"/>
    <n v="0"/>
    <n v="0"/>
    <n v="0"/>
    <n v="16.584796414889279"/>
    <m/>
    <n v="2.998074978295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913675423589702"/>
    <n v="0"/>
    <n v="0"/>
    <n v="0"/>
    <n v="0"/>
    <n v="0"/>
    <m/>
    <m/>
    <m/>
    <m/>
    <n v="480.19561740000034"/>
    <m/>
    <m/>
    <m/>
    <m/>
    <n v="366.03690109401873"/>
    <m/>
    <m/>
    <m/>
    <m/>
    <m/>
    <m/>
    <m/>
    <m/>
    <m/>
    <m/>
    <m/>
    <m/>
    <n v="7534.7532000000001"/>
    <n v="-187.64940939999997"/>
    <m/>
    <m/>
    <m/>
    <m/>
    <n v="-267.07525999999899"/>
    <n v="55.045540000000003"/>
    <n v="31"/>
    <n v="506.98304142411462"/>
    <n v="0"/>
    <n v="0"/>
    <n v="0"/>
    <n v="0"/>
    <n v="0"/>
    <n v="0"/>
    <n v="0"/>
    <n v="458.77343136760237"/>
    <n v="0"/>
    <n v="0"/>
    <n v="52.089029788293942"/>
    <n v="0"/>
    <n v="0"/>
    <n v="0"/>
    <n v="3.4784912020065519"/>
    <n v="0"/>
    <n v="-6.2360535608091112"/>
    <m/>
    <n v="0"/>
    <n v="0"/>
    <n v="0"/>
    <n v="0"/>
    <n v="-0.91609464893002723"/>
    <n v="-0.20576272404930762"/>
    <n v="0"/>
    <n v="140.86876691427929"/>
    <m/>
    <m/>
    <m/>
    <n v="5583.0192112193381"/>
    <n v="0"/>
    <n v="0"/>
    <n v="-267.07525999999871"/>
    <n v="55.045540000000017"/>
    <n v="0"/>
    <n v="0"/>
    <n v="-859.8822066028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6.791"/>
    <n v="15.78354"/>
    <n v="16.791"/>
    <n v="15.78354"/>
    <m/>
    <n v="94.17"/>
    <n v="207.07"/>
    <m/>
    <n v="5058.1208399999996"/>
    <n v="5058.1208399999996"/>
    <n v="5604.3320700000004"/>
    <n v="0"/>
    <n v="1150.5431527481787"/>
    <n v="0"/>
    <n v="0"/>
    <n v="0"/>
    <n v="0"/>
    <n v="0"/>
    <n v="3476.9958251250291"/>
    <n v="0"/>
    <n v="0"/>
    <n v="0"/>
    <n v="0"/>
    <n v="0"/>
    <n v="168.05993759952074"/>
    <m/>
    <n v="30.380613736009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19283285304445"/>
    <n v="0"/>
    <n v="0"/>
    <n v="0"/>
    <n v="0"/>
    <n v="0"/>
    <m/>
    <m/>
    <m/>
    <m/>
    <n v="336.2599242"/>
    <m/>
    <m/>
    <m/>
    <m/>
    <n v="3709.1886579780735"/>
    <m/>
    <m/>
    <m/>
    <m/>
    <m/>
    <m/>
    <m/>
    <m/>
    <m/>
    <m/>
    <m/>
    <m/>
    <n v="5266.8905999999997"/>
    <n v="512.22701039999902"/>
    <m/>
    <m/>
    <m/>
    <m/>
    <n v="-11.585789999999962"/>
    <n v="557.79701999999997"/>
    <n v="31"/>
    <n v="488.52598820693674"/>
    <n v="0"/>
    <n v="0"/>
    <n v="0"/>
    <n v="0"/>
    <n v="0"/>
    <n v="0"/>
    <n v="0"/>
    <n v="0"/>
    <n v="0"/>
    <n v="0"/>
    <n v="527.83759757105827"/>
    <n v="0"/>
    <n v="0"/>
    <n v="0"/>
    <n v="35.248850798365737"/>
    <n v="0"/>
    <n v="-63.192260313546058"/>
    <m/>
    <n v="0"/>
    <n v="0"/>
    <n v="0"/>
    <n v="0"/>
    <n v="-9.2831293000507173"/>
    <n v="-2.0850705488907195"/>
    <n v="0"/>
    <n v="57.613680899339229"/>
    <m/>
    <m/>
    <m/>
    <n v="0"/>
    <n v="0"/>
    <n v="0"/>
    <n v="-11.585789999999861"/>
    <n v="557.7970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7"/>
    <s v="Regular"/>
    <s v="Verde"/>
    <s v="A4"/>
    <s v="Serviço público"/>
    <s v="Água, esgoto e saneamento"/>
    <s v="Não se aplica"/>
    <s v="Não se aplica"/>
    <s v="Não se aplica"/>
    <s v="CATIVO"/>
    <x v="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85"/>
    <n v="548.52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7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3"/>
    <n v="1.08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80"/>
    <s v="Regular"/>
    <s v="Convencional"/>
    <s v="B2"/>
    <s v="Rural"/>
    <s v="Agropecuária rural"/>
    <s v="IRRIG./AQUIC."/>
    <s v="Não se aplica"/>
    <s v="Não se aplica"/>
    <s v="CATIVO"/>
    <x v="1"/>
    <n v="0"/>
    <n v="0"/>
    <n v="0.61199999999999999"/>
    <n v="0.61199999999999999"/>
    <n v="0.61199999999999999"/>
    <n v="0.61199999999999999"/>
    <m/>
    <n v="897.25"/>
    <n v="207.07"/>
    <m/>
    <n v="675.84384"/>
    <n v="675.84384"/>
    <n v="677.8940399999999"/>
    <n v="0"/>
    <n v="48.201274319910439"/>
    <n v="0"/>
    <n v="0"/>
    <n v="0"/>
    <n v="122.12286482167866"/>
    <n v="351.10151625173677"/>
    <n v="126.72988178050848"/>
    <n v="0"/>
    <n v="0"/>
    <n v="0"/>
    <n v="0"/>
    <n v="0"/>
    <n v="6.1254649402005059"/>
    <m/>
    <n v="1.7043896375873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59599595642834"/>
    <n v="0"/>
    <n v="0"/>
    <n v="0"/>
    <n v="0"/>
    <n v="0"/>
    <m/>
    <m/>
    <m/>
    <m/>
    <m/>
    <n v="81.347040000000007"/>
    <m/>
    <m/>
    <m/>
    <n v="146.5894813761513"/>
    <m/>
    <m/>
    <m/>
    <m/>
    <m/>
    <m/>
    <m/>
    <m/>
    <m/>
    <m/>
    <m/>
    <m/>
    <n v="594.59749999999997"/>
    <n v="-0.18021999999996297"/>
    <m/>
    <m/>
    <m/>
    <m/>
    <n v="-18.280440000000002"/>
    <n v="20.330639999999999"/>
    <n v="31"/>
    <n v="45.415981226699785"/>
    <n v="0"/>
    <n v="0"/>
    <n v="0"/>
    <n v="0"/>
    <n v="0"/>
    <n v="0"/>
    <n v="0"/>
    <n v="26.265175706449298"/>
    <n v="0"/>
    <n v="0"/>
    <n v="19.238676059406075"/>
    <n v="0"/>
    <n v="0"/>
    <n v="0"/>
    <n v="3.0148564641748017"/>
    <n v="0"/>
    <n v="-2.6473995929599923"/>
    <m/>
    <n v="0"/>
    <n v="0"/>
    <n v="0"/>
    <n v="0"/>
    <n v="-0.33835239900131331"/>
    <n v="-0.11697501136903687"/>
    <n v="0"/>
    <n v="10.710489907581236"/>
    <m/>
    <m/>
    <m/>
    <n v="351.10151625173677"/>
    <n v="0"/>
    <n v="0"/>
    <n v="-18.280439999999999"/>
    <n v="20.330640000000002"/>
    <n v="0"/>
    <n v="0"/>
    <n v="-54.07574918056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152"/>
    <n v="6.08E-2"/>
    <n v="0.152"/>
    <n v="6.08E-2"/>
    <m/>
    <n v="897.25"/>
    <n v="207.07"/>
    <m/>
    <n v="167.85664"/>
    <n v="167.85664"/>
    <n v="168.36583999999999"/>
    <n v="0"/>
    <n v="11.971558327820894"/>
    <n v="0"/>
    <n v="0"/>
    <n v="0"/>
    <n v="30.331169040678361"/>
    <n v="87.201683774941159"/>
    <n v="31.475395474897528"/>
    <n v="0"/>
    <n v="0"/>
    <n v="0"/>
    <n v="0"/>
    <n v="0"/>
    <n v="1.5213573054092759"/>
    <m/>
    <n v="0.42331245900861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324495727740372"/>
    <n v="0"/>
    <n v="0"/>
    <n v="0"/>
    <n v="0"/>
    <n v="0"/>
    <m/>
    <m/>
    <m/>
    <m/>
    <m/>
    <m/>
    <n v="109.10104"/>
    <m/>
    <m/>
    <n v="36.407845047671564"/>
    <m/>
    <m/>
    <m/>
    <m/>
    <m/>
    <m/>
    <m/>
    <m/>
    <m/>
    <m/>
    <m/>
    <m/>
    <n v="58.484999999999999"/>
    <n v="-0.63104799999999273"/>
    <m/>
    <m/>
    <m/>
    <m/>
    <n v="-4.5402400000000007"/>
    <n v="5.0494399999999997"/>
    <n v="31"/>
    <n v="11.279786187023475"/>
    <n v="0"/>
    <n v="0"/>
    <n v="0"/>
    <n v="0"/>
    <n v="0"/>
    <n v="0"/>
    <n v="0"/>
    <n v="6.5233769728436144"/>
    <n v="0"/>
    <n v="0"/>
    <n v="4.7782332696564147"/>
    <n v="0"/>
    <n v="0"/>
    <n v="0"/>
    <n v="0.74878787999112717"/>
    <n v="0"/>
    <n v="-0.65752408191163347"/>
    <m/>
    <n v="0"/>
    <n v="0"/>
    <n v="0"/>
    <n v="0"/>
    <n v="-8.4035236353267262E-2"/>
    <n v="-2.9052617202767306E-2"/>
    <n v="0"/>
    <n v="2.6601216763927251"/>
    <m/>
    <m/>
    <m/>
    <n v="87.201683774941159"/>
    <n v="0"/>
    <n v="0"/>
    <n v="-4.5402400000000114"/>
    <n v="5.0494400000000006"/>
    <n v="0"/>
    <n v="0"/>
    <n v="-13.43057822785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Agropecuária rural"/>
    <s v="Não se aplica"/>
    <s v="Não se aplica"/>
    <s v="Ponta"/>
    <s v="CATIVO"/>
    <x v="1"/>
    <n v="0"/>
    <n v="0"/>
    <n v="0.33"/>
    <n v="0.31680000000000003"/>
    <n v="0.33"/>
    <n v="0.31680000000000003"/>
    <m/>
    <n v="4750.8599999999997"/>
    <n v="207.07"/>
    <m/>
    <n v="1636.1169"/>
    <n v="1636.1169"/>
    <n v="1593.8901000000001"/>
    <n v="0"/>
    <n v="22.612068394193258"/>
    <n v="0"/>
    <n v="0"/>
    <n v="0"/>
    <n v="424.82137827648751"/>
    <n v="1111.8867469537608"/>
    <n v="68.334740175764381"/>
    <n v="0"/>
    <n v="0"/>
    <n v="0"/>
    <n v="0"/>
    <n v="0"/>
    <n v="3.302946781480665"/>
    <m/>
    <n v="0.5970819208434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633753106726624"/>
    <n v="0"/>
    <n v="0"/>
    <n v="0"/>
    <n v="0"/>
    <n v="0"/>
    <m/>
    <m/>
    <m/>
    <m/>
    <m/>
    <n v="63.755603999999956"/>
    <m/>
    <m/>
    <m/>
    <n v="72.89811548643705"/>
    <m/>
    <m/>
    <m/>
    <m/>
    <m/>
    <m/>
    <m/>
    <m/>
    <m/>
    <m/>
    <m/>
    <m/>
    <n v="1545.5904000000003"/>
    <n v="-25.111823999999842"/>
    <m/>
    <m/>
    <m/>
    <m/>
    <n v="-53.1893999999998"/>
    <n v="10.9626"/>
    <n v="31"/>
    <n v="100.96825809894858"/>
    <n v="0"/>
    <n v="0"/>
    <n v="0"/>
    <n v="0"/>
    <n v="0"/>
    <n v="0"/>
    <n v="0"/>
    <n v="91.367068407549027"/>
    <n v="0"/>
    <n v="0"/>
    <n v="10.373795914385639"/>
    <n v="0"/>
    <n v="0"/>
    <n v="0"/>
    <n v="0.6927592617152456"/>
    <n v="0"/>
    <n v="-1.241941867873873"/>
    <m/>
    <n v="0"/>
    <n v="0"/>
    <n v="0"/>
    <n v="0"/>
    <n v="-0.18244492103011956"/>
    <n v="-4.0978695797387665E-2"/>
    <n v="0"/>
    <n v="28.054733302179947"/>
    <m/>
    <m/>
    <m/>
    <n v="1111.8867469537608"/>
    <n v="0"/>
    <n v="0"/>
    <n v="-53.18939999999975"/>
    <n v="10.962599999999995"/>
    <n v="0"/>
    <n v="0"/>
    <n v="-171.2499264809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Agropecuária rural"/>
    <s v="Não se aplica"/>
    <s v="Não se aplica"/>
    <s v="Fora ponta"/>
    <s v="CATIVO"/>
    <x v="1"/>
    <n v="0"/>
    <n v="0"/>
    <n v="5.8380000000000001"/>
    <n v="5.6044799999999997"/>
    <n v="5.8380000000000001"/>
    <n v="5.6044799999999997"/>
    <m/>
    <n v="94.17"/>
    <n v="207.07"/>
    <m/>
    <n v="1758.6391199999998"/>
    <n v="1758.6391199999998"/>
    <n v="1948.5492600000002"/>
    <n v="0"/>
    <n v="400.02804631909163"/>
    <n v="0"/>
    <n v="0"/>
    <n v="0"/>
    <n v="0"/>
    <n v="0"/>
    <n v="1208.9036762003407"/>
    <n v="0"/>
    <n v="0"/>
    <n v="0"/>
    <n v="0"/>
    <n v="0"/>
    <n v="58.43213124328522"/>
    <m/>
    <n v="10.562921981467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0257768809096"/>
    <n v="0"/>
    <n v="0"/>
    <n v="0"/>
    <n v="0"/>
    <n v="0"/>
    <m/>
    <m/>
    <m/>
    <m/>
    <m/>
    <n v="77.94197040000013"/>
    <m/>
    <m/>
    <m/>
    <n v="1289.6339339691497"/>
    <m/>
    <m/>
    <m/>
    <m/>
    <m/>
    <m/>
    <m/>
    <m/>
    <m/>
    <m/>
    <m/>
    <m/>
    <n v="1869.1119999999996"/>
    <n v="180.78844479999975"/>
    <m/>
    <m/>
    <m/>
    <m/>
    <n v="-4.0282199999999868"/>
    <n v="193.93835999999999"/>
    <n v="31"/>
    <n v="169.85377399512231"/>
    <n v="0"/>
    <n v="0"/>
    <n v="0"/>
    <n v="0"/>
    <n v="0"/>
    <n v="0"/>
    <n v="0"/>
    <n v="0"/>
    <n v="0"/>
    <n v="0"/>
    <n v="183.52188044904051"/>
    <n v="0"/>
    <n v="0"/>
    <n v="0"/>
    <n v="12.255541120889717"/>
    <n v="0"/>
    <n v="-21.971080680750504"/>
    <m/>
    <n v="0"/>
    <n v="0"/>
    <n v="0"/>
    <n v="0"/>
    <n v="-3.2276165120419407"/>
    <n v="-0.72495038201560469"/>
    <n v="0"/>
    <n v="20.0314852653411"/>
    <m/>
    <m/>
    <m/>
    <n v="0"/>
    <n v="0"/>
    <n v="0"/>
    <n v="-4.0282199999999193"/>
    <n v="193.938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Agropecuária rural"/>
    <s v="Não se aplica"/>
    <s v="Não se aplica"/>
    <s v="Não se aplica"/>
    <s v="CATIVO"/>
    <x v="1"/>
    <n v="226"/>
    <n v="216.96"/>
    <n v="0"/>
    <n v="0"/>
    <n v="0"/>
    <n v="0"/>
    <n v="73.75"/>
    <m/>
    <m/>
    <n v="16667.5"/>
    <m/>
    <n v="16667.5"/>
    <n v="16816.66"/>
    <n v="0"/>
    <n v="0"/>
    <n v="0"/>
    <n v="0"/>
    <n v="0"/>
    <n v="6567.1657460266597"/>
    <n v="10100.3069048557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72.66639999999938"/>
    <m/>
    <m/>
    <m/>
    <n v="0"/>
    <m/>
    <m/>
    <m/>
    <m/>
    <m/>
    <m/>
    <m/>
    <m/>
    <m/>
    <m/>
    <m/>
    <m/>
    <n v="16143.9936"/>
    <n v="143.16359999999804"/>
    <m/>
    <m/>
    <m/>
    <m/>
    <n v="149.15999999999923"/>
    <n v="0"/>
    <n v="31"/>
    <n v="1412.411692639429"/>
    <n v="0"/>
    <n v="0"/>
    <n v="0"/>
    <n v="0"/>
    <m/>
    <m/>
    <m/>
    <n v="1412.411692639429"/>
    <n v="0"/>
    <n v="0"/>
    <m/>
    <m/>
    <n v="0"/>
    <n v="0"/>
    <n v="0"/>
    <n v="0"/>
    <n v="0"/>
    <m/>
    <n v="0"/>
    <n v="0"/>
    <m/>
    <n v="0"/>
    <n v="0"/>
    <n v="0"/>
    <n v="0"/>
    <n v="292.0065616080372"/>
    <m/>
    <m/>
    <n v="10100.306904855783"/>
    <m/>
    <n v="0"/>
    <n v="0"/>
    <n v="149.15999999999985"/>
    <m/>
    <n v="0"/>
    <m/>
    <n v="-1555.62319600483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85"/>
    <s v="Regular"/>
    <s v="Verde"/>
    <s v="A4"/>
    <s v="Rural"/>
    <s v="Agropecuária rural"/>
    <s v="IRRIG./AQUIC. PR"/>
    <s v="Não se aplica"/>
    <s v="Fora ponta"/>
    <s v="CATIVO"/>
    <x v="1"/>
    <n v="0"/>
    <n v="0"/>
    <n v="2.78"/>
    <n v="0.83399999999999996"/>
    <n v="2.78"/>
    <n v="0.83399999999999996"/>
    <m/>
    <n v="94.17"/>
    <n v="207.07"/>
    <m/>
    <n v="837.44719999999995"/>
    <n v="837.44719999999995"/>
    <n v="927.88059999999996"/>
    <n v="0"/>
    <n v="190.4895458662341"/>
    <n v="0"/>
    <n v="0"/>
    <n v="0"/>
    <n v="0"/>
    <n v="0"/>
    <n v="575.66841723825746"/>
    <n v="0"/>
    <n v="0"/>
    <n v="0"/>
    <n v="0"/>
    <n v="0"/>
    <n v="27.824824401564388"/>
    <m/>
    <n v="5.0299628483178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44297988990909"/>
    <n v="0"/>
    <n v="0"/>
    <n v="0"/>
    <n v="0"/>
    <n v="0"/>
    <m/>
    <m/>
    <m/>
    <m/>
    <m/>
    <m/>
    <n v="649.51641999999993"/>
    <m/>
    <m/>
    <n v="614.11139712816657"/>
    <m/>
    <m/>
    <m/>
    <m/>
    <m/>
    <m/>
    <m/>
    <m/>
    <m/>
    <m/>
    <m/>
    <m/>
    <n v="277.02909999999997"/>
    <n v="25.764939999999996"/>
    <m/>
    <m/>
    <m/>
    <m/>
    <n v="-1.9181999999999935"/>
    <n v="92.351599999999991"/>
    <n v="31"/>
    <n v="80.882749521486744"/>
    <n v="0"/>
    <n v="0"/>
    <n v="0"/>
    <n v="0"/>
    <n v="0"/>
    <n v="0"/>
    <n v="0"/>
    <n v="0"/>
    <n v="0"/>
    <n v="0"/>
    <n v="87.391371642400145"/>
    <n v="0"/>
    <n v="0"/>
    <n v="0"/>
    <n v="5.8359719623284363"/>
    <n v="0"/>
    <n v="-10.462419371785955"/>
    <m/>
    <n v="0"/>
    <n v="0"/>
    <n v="0"/>
    <n v="0"/>
    <n v="-1.536960243829494"/>
    <n v="-0.34521446762647834"/>
    <n v="0"/>
    <n v="9.5388025073052845"/>
    <m/>
    <m/>
    <m/>
    <n v="0"/>
    <n v="0"/>
    <n v="0"/>
    <n v="-1.918200000000013"/>
    <n v="92.35159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"/>
    <s v="Não se aplica"/>
    <s v="Não se aplica"/>
    <s v="Não se aplica"/>
    <s v="CATIVO"/>
    <x v="2"/>
    <n v="0"/>
    <n v="0"/>
    <n v="897.89300000000003"/>
    <n v="897.89300000000003"/>
    <n v="897.89300000000003"/>
    <n v="897.89300000000003"/>
    <m/>
    <n v="897.25"/>
    <n v="207.07"/>
    <m/>
    <n v="991561.19776000001"/>
    <n v="991561.19776000001"/>
    <n v="994569.13931000012"/>
    <n v="0"/>
    <n v="70718.279089750562"/>
    <n v="0"/>
    <n v="0"/>
    <n v="0"/>
    <n v="179172.0023910646"/>
    <n v="515116.98322192923"/>
    <n v="185931.16624435637"/>
    <n v="0"/>
    <n v="0"/>
    <n v="0"/>
    <n v="0"/>
    <n v="0"/>
    <n v="8986.947862012179"/>
    <m/>
    <n v="2500.5874589251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6.920685834204"/>
    <n v="0"/>
    <n v="2050.15"/>
    <n v="9494.07"/>
    <n v="0"/>
    <n v="6216"/>
    <m/>
    <m/>
    <m/>
    <m/>
    <m/>
    <m/>
    <m/>
    <m/>
    <m/>
    <n v="215068.08693019056"/>
    <m/>
    <m/>
    <m/>
    <m/>
    <m/>
    <m/>
    <m/>
    <m/>
    <m/>
    <m/>
    <m/>
    <m/>
    <n v="994565.81629999995"/>
    <n v="3004.5885399999097"/>
    <m/>
    <m/>
    <m/>
    <m/>
    <n v="-26820.063910000004"/>
    <n v="29828.00546"/>
    <n v="30"/>
    <n v="66631.849071217759"/>
    <n v="0"/>
    <n v="0"/>
    <n v="0"/>
    <n v="0"/>
    <n v="0"/>
    <n v="0"/>
    <n v="0"/>
    <n v="38534.832370246528"/>
    <n v="0"/>
    <n v="0"/>
    <n v="28225.935560471087"/>
    <n v="0"/>
    <n v="0"/>
    <n v="0"/>
    <n v="4423.2328679531092"/>
    <n v="0"/>
    <n v="-3884.1202005255327"/>
    <m/>
    <n v="0"/>
    <n v="0"/>
    <n v="0"/>
    <n v="0"/>
    <n v="-496.41217417726511"/>
    <n v="-171.61935275029191"/>
    <n v="0"/>
    <n v="15713.846265666405"/>
    <m/>
    <m/>
    <m/>
    <n v="515116.98322192923"/>
    <n v="0"/>
    <n v="0"/>
    <n v="-26820.06390999991"/>
    <n v="29828.005460000015"/>
    <n v="0"/>
    <n v="0"/>
    <n v="-79336.98800487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0.111"/>
    <n v="-100.111"/>
    <n v="-100.111"/>
    <n v="-100.111"/>
    <m/>
    <n v="897.25"/>
    <n v="207.07"/>
    <m/>
    <n v="-110554.57952"/>
    <n v="-110554.57952"/>
    <n v="-110889.95137"/>
    <n v="0"/>
    <n v="-7884.7676036610364"/>
    <n v="0"/>
    <n v="0"/>
    <n v="0"/>
    <n v="-19976.866209416788"/>
    <n v="-57433.208976270624"/>
    <n v="-20730.482344654385"/>
    <n v="0"/>
    <n v="0"/>
    <n v="0"/>
    <n v="0"/>
    <n v="0"/>
    <n v="-1002.0039552751845"/>
    <m/>
    <n v="-278.80416831454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48.6345998683005"/>
    <n v="0"/>
    <n v="-778.72"/>
    <n v="-3594.03"/>
    <n v="0"/>
    <n v="0"/>
    <m/>
    <m/>
    <m/>
    <m/>
    <m/>
    <m/>
    <m/>
    <m/>
    <m/>
    <n v="-23979.116944522684"/>
    <m/>
    <m/>
    <m/>
    <m/>
    <m/>
    <m/>
    <m/>
    <m/>
    <m/>
    <m/>
    <m/>
    <m/>
    <n v="-110888.8437"/>
    <n v="-334.29417999998259"/>
    <m/>
    <m/>
    <m/>
    <m/>
    <n v="2990.3155700000007"/>
    <n v="-3325.6874200000002"/>
    <n v="30"/>
    <n v="-7429.1491774283422"/>
    <n v="0"/>
    <n v="0"/>
    <n v="0"/>
    <n v="0"/>
    <n v="0"/>
    <n v="0"/>
    <n v="0"/>
    <n v="-4296.459158739126"/>
    <n v="0"/>
    <n v="0"/>
    <n v="-3147.0638872274576"/>
    <n v="0"/>
    <n v="0"/>
    <n v="0"/>
    <n v="-493.17041745915594"/>
    <n v="0"/>
    <n v="433.06179844904909"/>
    <m/>
    <n v="0"/>
    <n v="0"/>
    <n v="0"/>
    <n v="0"/>
    <n v="55.347707543170714"/>
    <n v="19.134780005172615"/>
    <n v="0"/>
    <n v="-1752.0226391141589"/>
    <m/>
    <m/>
    <m/>
    <n v="-57433.208976270624"/>
    <n v="0"/>
    <n v="0"/>
    <n v="2990.3155700000061"/>
    <n v="-3325.687420000002"/>
    <n v="0"/>
    <n v="0"/>
    <n v="8845.714585318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4.6529999999999996"/>
    <n v="4.6529999999999996"/>
    <n v="4.6529999999999996"/>
    <n v="4.6529999999999996"/>
    <m/>
    <n v="897.25"/>
    <n v="207.07"/>
    <m/>
    <n v="5138.400959999999"/>
    <n v="5138.400959999999"/>
    <n v="5153.9885099999992"/>
    <n v="0"/>
    <n v="366.47145328520139"/>
    <n v="0"/>
    <n v="0"/>
    <n v="0"/>
    <n v="928.49295754129218"/>
    <n v="2669.4041750315869"/>
    <n v="963.51983647827763"/>
    <n v="0"/>
    <n v="0"/>
    <n v="0"/>
    <n v="0"/>
    <n v="0"/>
    <n v="46.57154961887737"/>
    <m/>
    <n v="12.9583741563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99136751393155"/>
    <n v="0"/>
    <n v="8.5500000000000007"/>
    <n v="39.549999999999997"/>
    <n v="0"/>
    <n v="38"/>
    <m/>
    <m/>
    <m/>
    <m/>
    <m/>
    <m/>
    <m/>
    <m/>
    <m/>
    <n v="1114.5112039922092"/>
    <m/>
    <m/>
    <m/>
    <m/>
    <m/>
    <m/>
    <m/>
    <m/>
    <m/>
    <m/>
    <m/>
    <m/>
    <n v="5150.665500000001"/>
    <n v="12.234540000001289"/>
    <m/>
    <m/>
    <m/>
    <m/>
    <n v="-138.98511000000002"/>
    <n v="154.57265999999998"/>
    <n v="30"/>
    <n v="345.29503373829175"/>
    <n v="0"/>
    <n v="0"/>
    <n v="0"/>
    <n v="0"/>
    <n v="0"/>
    <n v="0"/>
    <n v="0"/>
    <n v="199.69258588579817"/>
    <n v="0"/>
    <n v="0"/>
    <n v="146.27052239283751"/>
    <n v="0"/>
    <n v="0"/>
    <n v="0"/>
    <n v="22.921776352623112"/>
    <n v="0"/>
    <n v="-20.128023375886983"/>
    <m/>
    <n v="0"/>
    <n v="0"/>
    <n v="0"/>
    <n v="0"/>
    <n v="-2.5724733865246847"/>
    <n v="-0.8893541305557644"/>
    <n v="0"/>
    <n v="81.431224738522047"/>
    <m/>
    <m/>
    <m/>
    <n v="2669.4041750315869"/>
    <n v="0"/>
    <n v="0"/>
    <n v="-138.98511000000008"/>
    <n v="154.57266000000004"/>
    <n v="0"/>
    <n v="0"/>
    <n v="-411.1347400933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2200000000000002"/>
    <n v="2.2200000000000002"/>
    <n v="2.2200000000000002"/>
    <n v="2.2200000000000002"/>
    <m/>
    <n v="808.48"/>
    <n v="207.07"/>
    <m/>
    <n v="2254.5210000000002"/>
    <n v="2254.5210000000002"/>
    <n v="2269.3284000000003"/>
    <n v="0"/>
    <n v="0"/>
    <n v="0"/>
    <n v="0"/>
    <n v="0"/>
    <n v="442.99470572569714"/>
    <n v="1273.6035393445354"/>
    <n v="459.70643390968763"/>
    <n v="0"/>
    <n v="0"/>
    <n v="0"/>
    <n v="0"/>
    <n v="0"/>
    <n v="0"/>
    <m/>
    <n v="6.182589861836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39724023410287"/>
    <n v="0"/>
    <n v="2.39"/>
    <n v="11.29"/>
    <n v="0"/>
    <n v="3"/>
    <m/>
    <m/>
    <m/>
    <m/>
    <m/>
    <m/>
    <m/>
    <n v="1475.0568000000001"/>
    <m/>
    <n v="531.74615793309795"/>
    <m/>
    <m/>
    <m/>
    <m/>
    <m/>
    <m/>
    <m/>
    <m/>
    <m/>
    <m/>
    <m/>
    <m/>
    <n v="794.27160000000003"/>
    <n v="5.1425999999999021"/>
    <m/>
    <m/>
    <m/>
    <m/>
    <n v="-58.941000000000159"/>
    <n v="73.748400000000004"/>
    <n v="30"/>
    <n v="175.57491461671214"/>
    <n v="0"/>
    <n v="0"/>
    <n v="0"/>
    <n v="0"/>
    <n v="0"/>
    <n v="0"/>
    <n v="0"/>
    <n v="95.275637366531782"/>
    <n v="0"/>
    <n v="0"/>
    <n v="69.787354333139717"/>
    <n v="0"/>
    <n v="0"/>
    <n v="0"/>
    <n v="10.936244036712523"/>
    <n v="0"/>
    <n v="0"/>
    <m/>
    <n v="0"/>
    <n v="0"/>
    <n v="0"/>
    <n v="0"/>
    <n v="0"/>
    <n v="-0.4243211196719967"/>
    <n v="0"/>
    <n v="35.399242427722108"/>
    <m/>
    <m/>
    <m/>
    <n v="1273.6035393445354"/>
    <n v="0"/>
    <n v="0"/>
    <n v="-58.941000000000031"/>
    <n v="73.748400000000004"/>
    <n v="0"/>
    <n v="0"/>
    <n v="-196.1571293804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.7050000000000001"/>
    <n v="4.7050000000000001"/>
    <n v="4.7050000000000001"/>
    <n v="4.7050000000000001"/>
    <m/>
    <n v="808.48"/>
    <n v="207.07"/>
    <m/>
    <n v="4778.1627500000004"/>
    <n v="4778.1627500000004"/>
    <n v="4809.5451000000003"/>
    <n v="0"/>
    <n v="0"/>
    <n v="0"/>
    <n v="0"/>
    <n v="0"/>
    <n v="938.86941010784005"/>
    <n v="2699.2363300072248"/>
    <n v="974.28773493021629"/>
    <n v="0"/>
    <n v="0"/>
    <n v="0"/>
    <n v="0"/>
    <n v="0"/>
    <n v="0"/>
    <m/>
    <n v="13.103191576549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67878447303846"/>
    <n v="0"/>
    <n v="8.25"/>
    <n v="38.18"/>
    <n v="0"/>
    <n v="12"/>
    <m/>
    <m/>
    <m/>
    <m/>
    <m/>
    <m/>
    <m/>
    <n v="1923.7803999999996"/>
    <m/>
    <n v="1126.9665194032548"/>
    <m/>
    <m/>
    <m/>
    <m/>
    <m/>
    <m/>
    <m/>
    <m/>
    <m/>
    <m/>
    <m/>
    <m/>
    <n v="2888.8314"/>
    <n v="21.903749999999491"/>
    <m/>
    <m/>
    <m/>
    <m/>
    <n v="-124.91775000000032"/>
    <n v="156.30009999999999"/>
    <n v="30"/>
    <n v="372.10809606830162"/>
    <n v="0"/>
    <n v="0"/>
    <n v="0"/>
    <n v="0"/>
    <n v="0"/>
    <n v="0"/>
    <n v="0"/>
    <n v="201.92426748177115"/>
    <n v="0"/>
    <n v="0"/>
    <n v="147.905181142983"/>
    <n v="0"/>
    <n v="0"/>
    <n v="0"/>
    <n v="23.177940627356918"/>
    <n v="0"/>
    <n v="0"/>
    <m/>
    <n v="0"/>
    <n v="0"/>
    <n v="0"/>
    <n v="0"/>
    <n v="0"/>
    <n v="-0.89929318380934298"/>
    <n v="0"/>
    <n v="75.024070100194834"/>
    <m/>
    <m/>
    <m/>
    <n v="2699.2363300072248"/>
    <n v="0"/>
    <n v="0"/>
    <n v="-124.91775000000007"/>
    <n v="156.30010000000004"/>
    <n v="0"/>
    <n v="0"/>
    <n v="-415.7294115923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.3809999999999998"/>
    <n v="3.3809999999999998"/>
    <n v="3.3809999999999998"/>
    <n v="3.3809999999999998"/>
    <m/>
    <n v="808.48"/>
    <n v="207.07"/>
    <m/>
    <n v="3433.5745499999998"/>
    <n v="3433.5745499999998"/>
    <n v="3456.1258199999997"/>
    <n v="0"/>
    <n v="0"/>
    <n v="0"/>
    <n v="0"/>
    <n v="0"/>
    <n v="674.66896399035215"/>
    <n v="1939.6637687044476"/>
    <n v="700.12047434624037"/>
    <n v="0"/>
    <n v="0"/>
    <n v="0"/>
    <n v="0"/>
    <n v="0"/>
    <n v="0"/>
    <m/>
    <n v="9.4159172625533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71455266808566"/>
    <n v="0"/>
    <n v="8.27"/>
    <n v="38.479999999999997"/>
    <n v="0"/>
    <n v="53"/>
    <m/>
    <m/>
    <m/>
    <m/>
    <m/>
    <m/>
    <m/>
    <n v="345.60581999999977"/>
    <m/>
    <n v="809.83502701432599"/>
    <m/>
    <m/>
    <m/>
    <m/>
    <m/>
    <m/>
    <m/>
    <m/>
    <m/>
    <m/>
    <m/>
    <m/>
    <n v="3109.6"/>
    <n v="19.335999999999331"/>
    <m/>
    <m/>
    <m/>
    <m/>
    <n v="-89.765550000000218"/>
    <n v="112.31681999999999"/>
    <n v="30"/>
    <n v="267.39584969328985"/>
    <n v="0"/>
    <n v="0"/>
    <n v="0"/>
    <n v="0"/>
    <n v="0"/>
    <n v="0"/>
    <n v="0"/>
    <n v="145.10222069200177"/>
    <n v="0"/>
    <n v="0"/>
    <n v="106.28425450466011"/>
    <n v="0"/>
    <n v="0"/>
    <n v="0"/>
    <n v="16.65560409375"/>
    <n v="0"/>
    <n v="0"/>
    <m/>
    <n v="0"/>
    <n v="0"/>
    <n v="0"/>
    <n v="0"/>
    <n v="0"/>
    <n v="-0.64622959712207972"/>
    <n v="0"/>
    <n v="53.912089481138935"/>
    <m/>
    <m/>
    <m/>
    <n v="1939.6637687044476"/>
    <n v="0"/>
    <n v="0"/>
    <n v="-89.765550000000076"/>
    <n v="112.31682000000001"/>
    <n v="0"/>
    <n v="0"/>
    <n v="-298.7420065024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38800000000000001"/>
    <n v="0.38800000000000001"/>
    <n v="0.38800000000000001"/>
    <n v="0.38800000000000001"/>
    <m/>
    <n v="808.48"/>
    <n v="207.07"/>
    <m/>
    <n v="394.03340000000003"/>
    <n v="394.03340000000003"/>
    <n v="396.62135999999998"/>
    <n v="0"/>
    <n v="0"/>
    <n v="0"/>
    <n v="0"/>
    <n v="0"/>
    <n v="77.42429991962635"/>
    <n v="222.59377174129719"/>
    <n v="80.345088449080535"/>
    <n v="0"/>
    <n v="0"/>
    <n v="0"/>
    <n v="0"/>
    <n v="0"/>
    <n v="0"/>
    <m/>
    <n v="1.0805607506272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90726541028465"/>
    <n v="0"/>
    <n v="1.26"/>
    <n v="5.79"/>
    <n v="0"/>
    <n v="4"/>
    <m/>
    <m/>
    <m/>
    <m/>
    <m/>
    <m/>
    <m/>
    <m/>
    <m/>
    <n v="92.935814990108994"/>
    <m/>
    <m/>
    <m/>
    <m/>
    <m/>
    <m/>
    <m/>
    <m/>
    <m/>
    <m/>
    <m/>
    <m/>
    <n v="398.66579999999999"/>
    <n v="4.6023999999999887"/>
    <m/>
    <m/>
    <m/>
    <m/>
    <n v="-10.301400000000028"/>
    <n v="12.88936"/>
    <n v="30"/>
    <n v="30.686066158236173"/>
    <n v="0"/>
    <n v="0"/>
    <n v="0"/>
    <n v="0"/>
    <n v="0"/>
    <n v="0"/>
    <n v="0"/>
    <n v="16.6517780622587"/>
    <n v="0"/>
    <n v="0"/>
    <n v="12.197069135701909"/>
    <n v="0"/>
    <n v="0"/>
    <n v="0"/>
    <n v="1.9113795883984022"/>
    <n v="0"/>
    <n v="0"/>
    <m/>
    <n v="0"/>
    <n v="0"/>
    <n v="0"/>
    <n v="0"/>
    <n v="0"/>
    <n v="-7.4160628122853289E-2"/>
    <n v="0"/>
    <n v="6.1868946225027823"/>
    <m/>
    <m/>
    <m/>
    <n v="222.59377174129719"/>
    <n v="0"/>
    <n v="0"/>
    <n v="-10.301400000000001"/>
    <n v="12.889359999999996"/>
    <n v="0"/>
    <n v="0"/>
    <n v="-34.28331810793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3"/>
    <s v="Regular"/>
    <s v="Branca"/>
    <s v="B1"/>
    <s v="Residencial"/>
    <s v="Residencial"/>
    <s v="Não se aplica"/>
    <s v="Não se aplica"/>
    <s v="Ponta"/>
    <s v="CATIVO"/>
    <x v="2"/>
    <n v="0"/>
    <n v="0"/>
    <n v="2.8000000000000001E-2"/>
    <n v="2.8000000000000001E-2"/>
    <n v="2.8000000000000001E-2"/>
    <n v="2.8000000000000001E-2"/>
    <m/>
    <n v="2211.7600000000002"/>
    <n v="207.07"/>
    <m/>
    <n v="67.727240000000009"/>
    <n v="67.727240000000009"/>
    <n v="66.302880000000002"/>
    <n v="0"/>
    <n v="2.2052870603880592"/>
    <n v="0"/>
    <n v="0"/>
    <n v="0"/>
    <n v="15.08579702432222"/>
    <n v="43.371349851514161"/>
    <n v="5.7980991664284929"/>
    <n v="0"/>
    <n v="0"/>
    <n v="0"/>
    <n v="0"/>
    <n v="0"/>
    <n v="0.28025002994381398"/>
    <m/>
    <n v="7.79786108700074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860913182679648"/>
    <n v="0"/>
    <n v="0"/>
    <n v="0"/>
    <n v="0"/>
    <n v="0"/>
    <m/>
    <m/>
    <m/>
    <m/>
    <m/>
    <m/>
    <m/>
    <m/>
    <m/>
    <n v="6.7067082982552897"/>
    <m/>
    <m/>
    <m/>
    <m/>
    <m/>
    <m/>
    <m/>
    <m/>
    <m/>
    <m/>
    <m/>
    <m/>
    <n v="71.038799999999995"/>
    <n v="3.2815599999999847"/>
    <m/>
    <m/>
    <m/>
    <m/>
    <n v="-2.3545200000000039"/>
    <n v="0.93015999999999999"/>
    <n v="30"/>
    <n v="4.1207090964058892"/>
    <n v="0"/>
    <n v="0"/>
    <n v="0"/>
    <n v="0"/>
    <n v="0"/>
    <n v="0"/>
    <n v="0"/>
    <n v="3.2445284516885504"/>
    <n v="0"/>
    <n v="0"/>
    <n v="0.88020086546302334"/>
    <n v="0"/>
    <n v="0"/>
    <n v="0"/>
    <n v="0.13793460947204961"/>
    <n v="0"/>
    <n v="-0.12112285719424776"/>
    <m/>
    <n v="0"/>
    <n v="0"/>
    <n v="0"/>
    <n v="0"/>
    <n v="-1.5480175117707107E-2"/>
    <n v="-5.3517979057729204E-3"/>
    <n v="0"/>
    <n v="1.1348531168552878"/>
    <m/>
    <m/>
    <m/>
    <n v="43.371349851514161"/>
    <n v="0"/>
    <n v="0"/>
    <n v="-2.3545200000000008"/>
    <n v="0.93015999999999988"/>
    <n v="0"/>
    <n v="0"/>
    <n v="-6.6799433429710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4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5"/>
    <n v="2.1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2"/>
    <n v="0"/>
    <n v="0"/>
    <n v="4.03"/>
    <n v="4.03"/>
    <n v="4.03"/>
    <n v="4.03"/>
    <m/>
    <n v="897.25"/>
    <n v="207.07"/>
    <m/>
    <n v="4450.4096"/>
    <n v="4450.4096"/>
    <n v="4463.9101000000001"/>
    <n v="0"/>
    <n v="317.4038161915671"/>
    <n v="0"/>
    <n v="0"/>
    <n v="0"/>
    <n v="804.17507390745925"/>
    <n v="2311.9920106119271"/>
    <n v="834.51213002524378"/>
    <n v="0"/>
    <n v="0"/>
    <n v="0"/>
    <n v="0"/>
    <n v="0"/>
    <n v="40.335986452627516"/>
    <m/>
    <n v="11.223350064504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7481433078535"/>
    <n v="0"/>
    <n v="0"/>
    <n v="0"/>
    <n v="0"/>
    <n v="9"/>
    <m/>
    <m/>
    <m/>
    <m/>
    <m/>
    <m/>
    <m/>
    <m/>
    <m/>
    <n v="965.28694435602915"/>
    <m/>
    <m/>
    <m/>
    <m/>
    <m/>
    <m/>
    <m/>
    <m/>
    <m/>
    <m/>
    <m/>
    <m/>
    <n v="4463.9101000000001"/>
    <n v="13.470499999999447"/>
    <m/>
    <m/>
    <m/>
    <m/>
    <n v="-120.37610000000002"/>
    <n v="133.8766"/>
    <n v="30"/>
    <n v="299.06275219542567"/>
    <n v="0"/>
    <n v="0"/>
    <n v="0"/>
    <n v="0"/>
    <n v="0"/>
    <n v="0"/>
    <n v="0"/>
    <n v="172.95532368789327"/>
    <n v="0"/>
    <n v="0"/>
    <n v="126.68605313628518"/>
    <n v="0"/>
    <n v="0"/>
    <n v="0"/>
    <n v="19.852731291870015"/>
    <n v="0"/>
    <n v="-17.433039803314955"/>
    <m/>
    <n v="0"/>
    <n v="0"/>
    <n v="0"/>
    <n v="0"/>
    <n v="-2.2280394901557017"/>
    <n v="-0.77027662715231848"/>
    <n v="0"/>
    <n v="70.528226025412394"/>
    <m/>
    <m/>
    <m/>
    <n v="2311.9920106119271"/>
    <n v="0"/>
    <n v="0"/>
    <n v="-120.37609999999995"/>
    <n v="133.87659999999994"/>
    <n v="0"/>
    <n v="0"/>
    <n v="-356.0870411726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79400000000000004"/>
    <n v="0.79400000000000004"/>
    <n v="0.79400000000000004"/>
    <n v="0.79400000000000004"/>
    <m/>
    <n v="897.25"/>
    <n v="207.07"/>
    <m/>
    <n v="876.83008000000007"/>
    <n v="876.83008000000007"/>
    <n v="879.48998000000006"/>
    <n v="0"/>
    <n v="62.535640212432831"/>
    <n v="0"/>
    <n v="0"/>
    <n v="0"/>
    <n v="158.44044880459617"/>
    <n v="455.514058666469"/>
    <n v="164.41752636229367"/>
    <n v="0"/>
    <n v="0"/>
    <n v="0"/>
    <n v="0"/>
    <n v="0"/>
    <n v="7.9470901348352978"/>
    <m/>
    <n v="2.2112506082423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65558952517015"/>
    <n v="0"/>
    <n v="0"/>
    <n v="0"/>
    <n v="0"/>
    <n v="1"/>
    <m/>
    <m/>
    <m/>
    <m/>
    <m/>
    <m/>
    <m/>
    <m/>
    <m/>
    <n v="190.18308531481068"/>
    <m/>
    <m/>
    <m/>
    <m/>
    <m/>
    <m/>
    <m/>
    <m/>
    <m/>
    <m/>
    <m/>
    <m/>
    <n v="875.05930000000012"/>
    <n v="-1.8007799999999179"/>
    <m/>
    <m/>
    <m/>
    <m/>
    <n v="-23.716780000000004"/>
    <n v="26.37668"/>
    <n v="30"/>
    <n v="58.922041003267395"/>
    <n v="0"/>
    <n v="0"/>
    <n v="0"/>
    <n v="0"/>
    <n v="0"/>
    <n v="0"/>
    <n v="0"/>
    <n v="34.076061292354154"/>
    <n v="0"/>
    <n v="0"/>
    <n v="24.959981684915761"/>
    <n v="0"/>
    <n v="0"/>
    <n v="0"/>
    <n v="3.9114314257431211"/>
    <n v="0"/>
    <n v="-3.4346981647226116"/>
    <m/>
    <n v="0"/>
    <n v="0"/>
    <n v="0"/>
    <n v="0"/>
    <n v="-0.43897353726640986"/>
    <n v="-0.15176169775656101"/>
    <n v="0"/>
    <n v="13.895635599051474"/>
    <m/>
    <m/>
    <m/>
    <n v="455.514058666469"/>
    <n v="0"/>
    <n v="0"/>
    <n v="-23.716779999999972"/>
    <n v="26.376679999999993"/>
    <n v="0"/>
    <n v="0"/>
    <n v="-70.15709942706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Ponta"/>
    <s v="CATIVO"/>
    <x v="2"/>
    <n v="0"/>
    <n v="0"/>
    <n v="1.212"/>
    <n v="1.212"/>
    <n v="1.212"/>
    <n v="1.212"/>
    <m/>
    <n v="4750.8599999999997"/>
    <n v="207.07"/>
    <m/>
    <n v="6009.0111599999991"/>
    <n v="6009.0111599999991"/>
    <n v="5853.9236400000009"/>
    <n v="0"/>
    <n v="83.047960284127967"/>
    <n v="0"/>
    <n v="0"/>
    <n v="0"/>
    <n v="1560.2530620336449"/>
    <n v="4083.6567797210851"/>
    <n v="250.97486391826189"/>
    <n v="0"/>
    <n v="0"/>
    <n v="0"/>
    <n v="0"/>
    <n v="0"/>
    <n v="12.130822724710805"/>
    <m/>
    <n v="2.1929190547342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60032959197776"/>
    <n v="0"/>
    <n v="0"/>
    <n v="0"/>
    <n v="0"/>
    <n v="0"/>
    <m/>
    <m/>
    <m/>
    <m/>
    <m/>
    <m/>
    <m/>
    <m/>
    <m/>
    <n v="267.73489687745968"/>
    <m/>
    <m/>
    <m/>
    <m/>
    <m/>
    <m/>
    <m/>
    <m/>
    <m/>
    <m/>
    <m/>
    <m/>
    <n v="5844.2637000000004"/>
    <n v="-164.77745999999934"/>
    <m/>
    <m/>
    <m/>
    <m/>
    <n v="-195.35015999999925"/>
    <n v="40.262639999999998"/>
    <n v="30"/>
    <n v="370.82887519977521"/>
    <n v="0"/>
    <n v="0"/>
    <n v="0"/>
    <n v="0"/>
    <n v="0"/>
    <n v="0"/>
    <n v="0"/>
    <n v="335.56632396954365"/>
    <n v="0"/>
    <n v="0"/>
    <n v="38.100123176470873"/>
    <n v="0"/>
    <n v="0"/>
    <n v="0"/>
    <n v="2.5443158339359933"/>
    <n v="0"/>
    <n v="-4.5613137692822221"/>
    <m/>
    <n v="0"/>
    <n v="0"/>
    <n v="0"/>
    <n v="0"/>
    <n v="-0.67007043723789472"/>
    <n v="-0.1505035736558602"/>
    <n v="0"/>
    <n v="103.03738412800632"/>
    <m/>
    <m/>
    <m/>
    <n v="4083.6567797210851"/>
    <n v="0"/>
    <n v="0"/>
    <n v="-195.35015999999905"/>
    <n v="40.262640000000005"/>
    <n v="0"/>
    <n v="0"/>
    <n v="-628.954275439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Fora ponta"/>
    <s v="CATIVO"/>
    <x v="2"/>
    <n v="0"/>
    <n v="0"/>
    <n v="87.236999999999995"/>
    <n v="87.236999999999995"/>
    <n v="87.236999999999995"/>
    <n v="87.236999999999995"/>
    <m/>
    <n v="94.17"/>
    <n v="207.07"/>
    <m/>
    <n v="26279.273879999997"/>
    <n v="26279.273879999997"/>
    <n v="29117.093489999999"/>
    <n v="0"/>
    <n v="5977.6030621340515"/>
    <n v="0"/>
    <n v="0"/>
    <n v="0"/>
    <n v="0"/>
    <n v="0"/>
    <n v="18064.599177918655"/>
    <n v="0"/>
    <n v="0"/>
    <n v="0"/>
    <n v="0"/>
    <n v="0"/>
    <n v="873.14899507887503"/>
    <m/>
    <n v="157.8413197837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6.3490059913668"/>
    <n v="0"/>
    <n v="0"/>
    <n v="0"/>
    <n v="0"/>
    <n v="0"/>
    <m/>
    <m/>
    <m/>
    <m/>
    <m/>
    <m/>
    <m/>
    <m/>
    <m/>
    <n v="19270.948183910023"/>
    <m/>
    <m/>
    <m/>
    <m/>
    <m/>
    <m/>
    <m/>
    <m/>
    <m/>
    <m/>
    <m/>
    <m/>
    <n v="29118.094799999999"/>
    <n v="2838.7909200000031"/>
    <m/>
    <m/>
    <m/>
    <m/>
    <n v="-60.193529999999797"/>
    <n v="2898.0131399999996"/>
    <n v="30"/>
    <n v="2538.1181366927813"/>
    <n v="0"/>
    <n v="0"/>
    <n v="0"/>
    <n v="0"/>
    <n v="0"/>
    <n v="0"/>
    <n v="0"/>
    <n v="0"/>
    <n v="0"/>
    <n v="0"/>
    <n v="2742.3601035856373"/>
    <n v="0"/>
    <n v="0"/>
    <n v="0"/>
    <n v="183.13405974016018"/>
    <n v="0"/>
    <n v="-328.31297796276613"/>
    <m/>
    <n v="0"/>
    <n v="0"/>
    <n v="0"/>
    <n v="0"/>
    <n v="-48.230144169407822"/>
    <n v="-10.832904500838538"/>
    <n v="0"/>
    <n v="299.3296814135939"/>
    <m/>
    <m/>
    <m/>
    <n v="0"/>
    <n v="0"/>
    <n v="0"/>
    <n v="-60.193530000000464"/>
    <n v="2898.01314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Não se aplica"/>
    <s v="CATIVO"/>
    <x v="2"/>
    <n v="946"/>
    <n v="946"/>
    <n v="0"/>
    <n v="0"/>
    <n v="0"/>
    <n v="0"/>
    <n v="73.75"/>
    <m/>
    <m/>
    <n v="69767.5"/>
    <m/>
    <n v="69767.5"/>
    <n v="70391.86"/>
    <n v="0"/>
    <n v="0"/>
    <n v="0"/>
    <n v="0"/>
    <n v="0"/>
    <n v="27489.109715669118"/>
    <n v="42278.275805281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391.86"/>
    <n v="624.3300000000163"/>
    <m/>
    <m/>
    <m/>
    <m/>
    <n v="624.35999999999672"/>
    <n v="0"/>
    <n v="30"/>
    <n v="5912.1303594553101"/>
    <n v="0"/>
    <n v="0"/>
    <n v="0"/>
    <n v="0"/>
    <m/>
    <m/>
    <m/>
    <n v="5912.1303594553101"/>
    <n v="0"/>
    <n v="0"/>
    <m/>
    <m/>
    <n v="0"/>
    <n v="0"/>
    <n v="0"/>
    <n v="0"/>
    <n v="0"/>
    <m/>
    <n v="0"/>
    <n v="0"/>
    <m/>
    <n v="0"/>
    <n v="0"/>
    <n v="0"/>
    <n v="0"/>
    <n v="1222.2929525716957"/>
    <m/>
    <m/>
    <n v="42278.275805281286"/>
    <m/>
    <n v="0"/>
    <n v="0"/>
    <n v="624.36000000000058"/>
    <m/>
    <n v="0"/>
    <m/>
    <n v="-6511.590900091039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0"/>
    <s v="Regular"/>
    <s v="Convencional"/>
    <s v="B3"/>
    <s v="Comercial"/>
    <s v="Não se aplica"/>
    <s v="Não se aplica"/>
    <s v="Não se aplica"/>
    <s v="Não se aplica"/>
    <s v="CATIVO"/>
    <x v="2"/>
    <n v="0"/>
    <n v="0"/>
    <n v="106.11"/>
    <n v="106.11"/>
    <n v="106.11"/>
    <n v="106.11"/>
    <m/>
    <n v="897.25"/>
    <n v="207.07"/>
    <m/>
    <n v="117179.3952"/>
    <n v="117179.3952"/>
    <n v="117534.8637"/>
    <n v="0"/>
    <n v="8357.2503563491773"/>
    <n v="0"/>
    <n v="0"/>
    <n v="0"/>
    <n v="21173.949650699873"/>
    <n v="60874.807008940836"/>
    <n v="21972.725091061689"/>
    <n v="0"/>
    <n v="0"/>
    <n v="0"/>
    <n v="0"/>
    <n v="0"/>
    <n v="1062.0475241906465"/>
    <m/>
    <n v="295.5110856934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3.3041063621918"/>
    <n v="0"/>
    <n v="207.05"/>
    <n v="956.9"/>
    <n v="0"/>
    <n v="236"/>
    <m/>
    <m/>
    <m/>
    <m/>
    <m/>
    <m/>
    <m/>
    <m/>
    <m/>
    <n v="25416.029197423883"/>
    <m/>
    <m/>
    <m/>
    <m/>
    <m/>
    <m/>
    <m/>
    <m/>
    <m/>
    <m/>
    <m/>
    <m/>
    <n v="117534.8637"/>
    <n v="355.43850000001839"/>
    <m/>
    <m/>
    <m/>
    <m/>
    <n v="-3169.5057000000006"/>
    <n v="3524.9741999999997"/>
    <n v="30"/>
    <n v="7874.3296862175193"/>
    <n v="0"/>
    <n v="0"/>
    <n v="0"/>
    <n v="0"/>
    <n v="0"/>
    <n v="0"/>
    <n v="0"/>
    <n v="4553.9179643976058"/>
    <n v="0"/>
    <n v="0"/>
    <n v="3335.646922652908"/>
    <n v="0"/>
    <n v="0"/>
    <n v="0"/>
    <n v="522.72290753854259"/>
    <n v="0"/>
    <n v="-459.01237060291623"/>
    <m/>
    <n v="0"/>
    <n v="0"/>
    <n v="0"/>
    <n v="0"/>
    <n v="-58.664335062139457"/>
    <n v="-20.281402706484471"/>
    <n v="0"/>
    <n v="1857.0099413291584"/>
    <m/>
    <m/>
    <m/>
    <n v="60874.807008940836"/>
    <n v="0"/>
    <n v="0"/>
    <n v="-3169.5056999999942"/>
    <n v="3524.9741999999969"/>
    <n v="0"/>
    <n v="0"/>
    <n v="-9375.780629982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82799999999999996"/>
    <n v="0.82799999999999996"/>
    <n v="0.82799999999999996"/>
    <n v="0.82799999999999996"/>
    <m/>
    <n v="897.25"/>
    <n v="207.07"/>
    <m/>
    <n v="914.37696000000005"/>
    <n v="914.37696000000005"/>
    <n v="917.15075999999988"/>
    <n v="0"/>
    <n v="65.213488785761186"/>
    <n v="0"/>
    <n v="0"/>
    <n v="0"/>
    <n v="165.22505240580054"/>
    <n v="475.01969845823209"/>
    <n v="171.4580753500997"/>
    <n v="0"/>
    <n v="0"/>
    <n v="0"/>
    <n v="0"/>
    <n v="0"/>
    <n v="8.2873937426242144"/>
    <m/>
    <n v="2.305938921441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68870041163834"/>
    <n v="0"/>
    <n v="17.29"/>
    <n v="79.92"/>
    <n v="0"/>
    <n v="6"/>
    <m/>
    <m/>
    <m/>
    <m/>
    <m/>
    <m/>
    <m/>
    <m/>
    <m/>
    <n v="198.32694539126354"/>
    <m/>
    <m/>
    <m/>
    <m/>
    <m/>
    <m/>
    <m/>
    <m/>
    <m/>
    <m/>
    <m/>
    <m/>
    <n v="919.36609999999996"/>
    <n v="4.9591399999999339"/>
    <m/>
    <m/>
    <m/>
    <m/>
    <n v="-24.732360000000003"/>
    <n v="27.506159999999998"/>
    <n v="30"/>
    <n v="61.445151071417513"/>
    <n v="0"/>
    <n v="0"/>
    <n v="0"/>
    <n v="0"/>
    <n v="0"/>
    <n v="0"/>
    <n v="0"/>
    <n v="35.535237720490215"/>
    <n v="0"/>
    <n v="0"/>
    <n v="26.028797021549394"/>
    <n v="0"/>
    <n v="0"/>
    <n v="0"/>
    <n v="4.0789234515306134"/>
    <n v="0"/>
    <n v="-3.5817759198870576"/>
    <m/>
    <n v="0"/>
    <n v="0"/>
    <n v="0"/>
    <n v="0"/>
    <n v="-0.45777089276648297"/>
    <n v="-0.15826030949928471"/>
    <n v="0"/>
    <n v="14.49066281613932"/>
    <m/>
    <m/>
    <m/>
    <n v="475.01969845823209"/>
    <n v="0"/>
    <n v="0"/>
    <n v="-24.732360000000085"/>
    <n v="27.506159999999994"/>
    <n v="0"/>
    <n v="0"/>
    <n v="-73.16130771487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2"/>
    <s v="Regular"/>
    <s v="Azul"/>
    <s v="A4"/>
    <s v="Comercial"/>
    <s v="Não se aplica"/>
    <s v="Não se aplica"/>
    <s v="Não se aplica"/>
    <s v="Ponta"/>
    <s v="CATIVO"/>
    <x v="2"/>
    <n v="100"/>
    <n v="100"/>
    <n v="3.093"/>
    <n v="3.093"/>
    <n v="3.093"/>
    <n v="3.093"/>
    <n v="193.63"/>
    <n v="94.17"/>
    <n v="207.07"/>
    <n v="19363"/>
    <n v="931.73532"/>
    <n v="20294.73532"/>
    <n v="19727.350610000001"/>
    <n v="0"/>
    <n v="211.93675013102953"/>
    <n v="0"/>
    <n v="0"/>
    <n v="0"/>
    <n v="5352.7545792855199"/>
    <n v="14009.762805225198"/>
    <n v="640.48288292011887"/>
    <n v="0"/>
    <n v="0"/>
    <n v="0"/>
    <n v="0"/>
    <n v="0"/>
    <n v="30.957619379150596"/>
    <m/>
    <n v="5.596286003542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71272230031954"/>
    <n v="0"/>
    <n v="0"/>
    <n v="0"/>
    <n v="0"/>
    <n v="0"/>
    <m/>
    <m/>
    <m/>
    <m/>
    <m/>
    <m/>
    <m/>
    <m/>
    <m/>
    <n v="683.25415515015084"/>
    <m/>
    <m/>
    <m/>
    <m/>
    <m/>
    <m/>
    <m/>
    <m/>
    <m/>
    <m/>
    <m/>
    <m/>
    <n v="19726.349300000002"/>
    <n v="-568.4160199999933"/>
    <m/>
    <m/>
    <m/>
    <m/>
    <n v="-670.13417000000072"/>
    <n v="102.74946"/>
    <n v="30"/>
    <n v="1241.2155155756063"/>
    <n v="0"/>
    <n v="0"/>
    <n v="0"/>
    <n v="0"/>
    <n v="0"/>
    <n v="0"/>
    <n v="0"/>
    <n v="1151.2261831043998"/>
    <n v="0"/>
    <n v="0"/>
    <n v="97.230759888468924"/>
    <n v="0"/>
    <n v="0"/>
    <n v="0"/>
    <n v="6.4930436257128932"/>
    <n v="0"/>
    <n v="-11.640382416163277"/>
    <m/>
    <n v="0"/>
    <n v="0"/>
    <n v="0"/>
    <n v="0"/>
    <n v="-1.7100064871095775"/>
    <n v="-0.38408213970097016"/>
    <n v="0"/>
    <n v="349.83529864701302"/>
    <m/>
    <m/>
    <n v="14009.762805225198"/>
    <n v="0"/>
    <n v="0"/>
    <n v="0"/>
    <n v="-670.13417000000118"/>
    <n v="102.74946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3"/>
    <s v="Regular"/>
    <s v="Azul"/>
    <s v="A4"/>
    <s v="Comercial"/>
    <s v="Não se aplica"/>
    <s v="Não se aplica"/>
    <s v="Não se aplica"/>
    <s v="Fora ponta"/>
    <s v="CATIVO"/>
    <x v="2"/>
    <n v="100"/>
    <n v="100"/>
    <n v="26.829000000000001"/>
    <n v="26.829000000000001"/>
    <n v="26.829000000000001"/>
    <n v="26.829000000000001"/>
    <n v="73.75"/>
    <n v="94.17"/>
    <n v="207.07"/>
    <n v="7375"/>
    <n v="8081.9679599999999"/>
    <n v="15456.967959999998"/>
    <n v="16395.715329999999"/>
    <n v="0"/>
    <n v="1838.3611604479117"/>
    <n v="0"/>
    <n v="0"/>
    <n v="0"/>
    <n v="2905.8255513392301"/>
    <n v="4469.1623472813199"/>
    <n v="5555.6143762896436"/>
    <n v="0"/>
    <n v="0"/>
    <n v="0"/>
    <n v="0"/>
    <n v="0"/>
    <n v="268.52957333437809"/>
    <m/>
    <n v="48.542760164575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00241275768747"/>
    <n v="0"/>
    <n v="0"/>
    <n v="0"/>
    <n v="0"/>
    <n v="0"/>
    <m/>
    <m/>
    <m/>
    <m/>
    <m/>
    <m/>
    <m/>
    <m/>
    <m/>
    <n v="5926.6167890473307"/>
    <m/>
    <m/>
    <m/>
    <m/>
    <m/>
    <m/>
    <m/>
    <m/>
    <m/>
    <m/>
    <m/>
    <m/>
    <n v="16396.0491"/>
    <n v="939.05113999999776"/>
    <m/>
    <m/>
    <m/>
    <m/>
    <n v="47.487989999999719"/>
    <n v="891.25937999999996"/>
    <n v="30"/>
    <n v="1405.5376478574308"/>
    <n v="0"/>
    <n v="0"/>
    <n v="0"/>
    <n v="0"/>
    <n v="0"/>
    <n v="0"/>
    <n v="0"/>
    <n v="624.9609259466497"/>
    <n v="0"/>
    <n v="0"/>
    <n v="843.3896078395519"/>
    <n v="0"/>
    <n v="0"/>
    <n v="0"/>
    <n v="56.321327977449471"/>
    <n v="0"/>
    <n v="-100.96987385814577"/>
    <m/>
    <n v="0"/>
    <n v="0"/>
    <n v="0"/>
    <n v="0"/>
    <n v="-14.832772079748764"/>
    <n v="-3.3315679683276258"/>
    <n v="0"/>
    <n v="221.26274983273998"/>
    <m/>
    <m/>
    <n v="4469.1623472813199"/>
    <n v="0"/>
    <n v="0"/>
    <n v="0"/>
    <n v="47.487990000001446"/>
    <n v="891.2593800000004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4"/>
    <s v="Regular"/>
    <s v="Azul"/>
    <s v="A4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6.29000000000002"/>
    <n v="1182.910000000000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5"/>
    <s v="Regular"/>
    <s v="Verde"/>
    <s v="A4"/>
    <s v="Comercial"/>
    <s v="Não se aplica"/>
    <s v="Não se aplica"/>
    <s v="Não se aplica"/>
    <s v="Ponta"/>
    <s v="CATIVO"/>
    <x v="2"/>
    <n v="0"/>
    <n v="0"/>
    <n v="0.52"/>
    <n v="0.52"/>
    <n v="0.52"/>
    <n v="0.52"/>
    <m/>
    <n v="4750.8599999999997"/>
    <n v="207.07"/>
    <m/>
    <n v="2578.1235999999999"/>
    <n v="2578.1235999999999"/>
    <n v="2511.5844000000002"/>
    <n v="0"/>
    <n v="35.631138075698466"/>
    <n v="0"/>
    <n v="0"/>
    <n v="0"/>
    <n v="669.41550516295001"/>
    <n v="1752.0639648968352"/>
    <n v="107.67898451938629"/>
    <n v="0"/>
    <n v="0"/>
    <n v="0"/>
    <n v="0"/>
    <n v="0"/>
    <n v="5.2046434132422599"/>
    <m/>
    <n v="0.94085636011700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07732168175285"/>
    <n v="0"/>
    <n v="0"/>
    <n v="0"/>
    <n v="0"/>
    <n v="0"/>
    <m/>
    <m/>
    <m/>
    <m/>
    <m/>
    <m/>
    <m/>
    <m/>
    <m/>
    <n v="114.86975773620382"/>
    <m/>
    <m/>
    <m/>
    <m/>
    <m/>
    <m/>
    <m/>
    <m/>
    <m/>
    <m/>
    <m/>
    <m/>
    <n v="2511.5844000000002"/>
    <n v="-66.569200000000365"/>
    <m/>
    <m/>
    <m/>
    <m/>
    <n v="-83.813599999999681"/>
    <n v="17.2744"/>
    <n v="30"/>
    <n v="159.10149761046443"/>
    <n v="0"/>
    <n v="0"/>
    <n v="0"/>
    <n v="0"/>
    <n v="0"/>
    <n v="0"/>
    <n v="0"/>
    <n v="143.97235021795598"/>
    <n v="0"/>
    <n v="0"/>
    <n v="16.346587501456156"/>
    <n v="0"/>
    <n v="0"/>
    <n v="0"/>
    <n v="1.0916206548240242"/>
    <n v="0"/>
    <n v="-1.9569993069527669"/>
    <m/>
    <n v="0"/>
    <n v="0"/>
    <n v="0"/>
    <n v="0"/>
    <n v="-0.28748896647170419"/>
    <n v="-6.4572490347398759E-2"/>
    <n v="0"/>
    <n v="44.207458536768392"/>
    <m/>
    <m/>
    <m/>
    <n v="1752.0639648968352"/>
    <n v="0"/>
    <n v="0"/>
    <n v="-83.813599999999951"/>
    <n v="17.2744"/>
    <n v="0"/>
    <n v="0"/>
    <n v="-269.8483690002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6"/>
    <s v="Regular"/>
    <s v="Verde"/>
    <s v="A4"/>
    <s v="Comercial"/>
    <s v="Não se aplica"/>
    <s v="Não se aplica"/>
    <s v="Não se aplica"/>
    <s v="Fora ponta"/>
    <s v="CATIVO"/>
    <x v="2"/>
    <n v="0"/>
    <n v="0"/>
    <n v="70.647999999999996"/>
    <n v="70.647999999999996"/>
    <n v="70.647999999999996"/>
    <n v="70.647999999999996"/>
    <m/>
    <n v="94.17"/>
    <n v="207.07"/>
    <m/>
    <n v="21282.003519999998"/>
    <n v="21282.003519999998"/>
    <n v="23580.182959999998"/>
    <n v="0"/>
    <n v="4840.901236099894"/>
    <n v="0"/>
    <n v="0"/>
    <n v="0"/>
    <n v="0"/>
    <n v="0"/>
    <n v="14629.432496780004"/>
    <n v="0"/>
    <n v="0"/>
    <n v="0"/>
    <n v="0"/>
    <n v="0"/>
    <n v="707.11086126680607"/>
    <m/>
    <n v="127.8261925568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.94951196485522"/>
    <n v="0"/>
    <n v="0"/>
    <n v="0"/>
    <n v="0"/>
    <n v="0"/>
    <m/>
    <m/>
    <m/>
    <m/>
    <m/>
    <m/>
    <m/>
    <m/>
    <m/>
    <n v="15606.382008744858"/>
    <m/>
    <m/>
    <m/>
    <m/>
    <m/>
    <m/>
    <m/>
    <m/>
    <m/>
    <m/>
    <m/>
    <m/>
    <n v="23580.8505"/>
    <n v="2298.8169800000032"/>
    <m/>
    <m/>
    <m/>
    <m/>
    <n v="-48.747119999999839"/>
    <n v="2346.9265599999999"/>
    <n v="30"/>
    <n v="2055.46924035755"/>
    <n v="0"/>
    <n v="0"/>
    <n v="0"/>
    <n v="0"/>
    <n v="0"/>
    <n v="0"/>
    <n v="0"/>
    <n v="0"/>
    <n v="0"/>
    <n v="0"/>
    <n v="2220.872526543988"/>
    <n v="0"/>
    <n v="0"/>
    <n v="0"/>
    <n v="148.30926158078387"/>
    <n v="0"/>
    <n v="-265.88093661076709"/>
    <m/>
    <n v="0"/>
    <n v="0"/>
    <n v="0"/>
    <n v="0"/>
    <n v="-39.058693275563314"/>
    <n v="-8.7729178808904464"/>
    <n v="0"/>
    <n v="242.40910774679992"/>
    <m/>
    <m/>
    <m/>
    <n v="0"/>
    <n v="0"/>
    <n v="0"/>
    <n v="-48.747119999999995"/>
    <n v="2346.92656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Não se aplica"/>
    <s v="CATIVO"/>
    <x v="2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8"/>
    <s v="Regular"/>
    <s v="Branca"/>
    <s v="B3"/>
    <s v="Comercial"/>
    <s v="Não se aplica"/>
    <s v="Não se aplica"/>
    <s v="Não se aplica"/>
    <s v="Ponta"/>
    <s v="CATIVO"/>
    <x v="2"/>
    <n v="0"/>
    <n v="0"/>
    <n v="5.3999999999999999E-2"/>
    <n v="5.3999999999999999E-2"/>
    <n v="5.3999999999999999E-2"/>
    <n v="5.3999999999999999E-2"/>
    <m/>
    <n v="2482.39"/>
    <n v="207.07"/>
    <m/>
    <n v="145.23084"/>
    <n v="145.23084"/>
    <n v="141.88121999999998"/>
    <n v="0"/>
    <n v="4.2530536164626858"/>
    <n v="0"/>
    <n v="0"/>
    <n v="0"/>
    <n v="32.865457357277656"/>
    <n v="94.487576401192683"/>
    <n v="11.182048392397807"/>
    <n v="0"/>
    <n v="0"/>
    <n v="0"/>
    <n v="0"/>
    <n v="0"/>
    <n v="0.540482200605927"/>
    <m/>
    <n v="0.1503873209635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523176113802501"/>
    <n v="0"/>
    <n v="0"/>
    <n v="0"/>
    <n v="0"/>
    <n v="0"/>
    <m/>
    <m/>
    <m/>
    <m/>
    <m/>
    <m/>
    <m/>
    <m/>
    <m/>
    <n v="12.934366003778056"/>
    <m/>
    <m/>
    <m/>
    <m/>
    <m/>
    <m/>
    <m/>
    <m/>
    <m/>
    <m/>
    <m/>
    <m/>
    <n v="131.3715"/>
    <n v="-13.889339999999976"/>
    <m/>
    <m/>
    <m/>
    <m/>
    <n v="-5.1434999999999995"/>
    <n v="1.7938799999999999"/>
    <n v="30"/>
    <n v="8.7582077009387831"/>
    <n v="0"/>
    <n v="0"/>
    <n v="0"/>
    <n v="0"/>
    <n v="0"/>
    <n v="0"/>
    <n v="0"/>
    <n v="7.0684307432696158"/>
    <n v="0"/>
    <n v="0"/>
    <n v="1.6975302405358317"/>
    <n v="0"/>
    <n v="0"/>
    <n v="0"/>
    <n v="0.26601674683895293"/>
    <n v="0"/>
    <n v="-0.23359408173176366"/>
    <m/>
    <n v="0"/>
    <n v="0"/>
    <n v="0"/>
    <n v="0"/>
    <n v="-2.9854623441292305E-2"/>
    <n v="-1.0321324532562071E-2"/>
    <n v="0"/>
    <n v="2.4446803374829829"/>
    <m/>
    <m/>
    <m/>
    <n v="94.487576401192683"/>
    <n v="0"/>
    <n v="0"/>
    <n v="-5.1435000000000173"/>
    <n v="1.7938799999999997"/>
    <n v="0"/>
    <n v="0"/>
    <n v="-14.55273260194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9"/>
    <s v="Regular"/>
    <s v="Branca"/>
    <s v="B3"/>
    <s v="Comercial"/>
    <s v="Não se aplica"/>
    <s v="Não se aplica"/>
    <s v="Não se aplica"/>
    <s v="Fora ponta"/>
    <s v="CATIVO"/>
    <x v="2"/>
    <n v="0"/>
    <n v="0"/>
    <n v="0.35499999999999998"/>
    <n v="0.35499999999999998"/>
    <n v="0.35499999999999998"/>
    <n v="0.35499999999999998"/>
    <m/>
    <n v="595.67999999999995"/>
    <n v="207.07"/>
    <m/>
    <n v="284.97624999999994"/>
    <n v="284.97624999999994"/>
    <n v="290.58170000000001"/>
    <n v="0"/>
    <n v="27.959889515634323"/>
    <n v="0"/>
    <n v="0"/>
    <n v="0"/>
    <n v="43.211576594744763"/>
    <n v="124.23370128769247"/>
    <n v="73.5116144315041"/>
    <n v="0"/>
    <n v="0"/>
    <n v="0"/>
    <n v="0"/>
    <n v="0"/>
    <n v="3.5531700225019271"/>
    <m/>
    <n v="0.9886573878161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19865778518311"/>
    <n v="0"/>
    <n v="0"/>
    <n v="0"/>
    <n v="0"/>
    <n v="0"/>
    <m/>
    <m/>
    <m/>
    <m/>
    <m/>
    <m/>
    <m/>
    <m/>
    <m/>
    <n v="85.031480210022409"/>
    <m/>
    <m/>
    <m/>
    <m/>
    <m/>
    <m/>
    <m/>
    <m/>
    <m/>
    <m/>
    <m/>
    <m/>
    <n v="294.67439999999999"/>
    <n v="9.6681500000000824"/>
    <m/>
    <m/>
    <m/>
    <m/>
    <n v="-6.1876499999999819"/>
    <n v="11.793099999999999"/>
    <n v="30"/>
    <n v="20.402307386086505"/>
    <n v="0"/>
    <n v="0"/>
    <n v="0"/>
    <n v="0"/>
    <n v="0"/>
    <n v="0"/>
    <n v="0"/>
    <n v="9.2935884977058905"/>
    <n v="0"/>
    <n v="0"/>
    <n v="11.15968954426333"/>
    <n v="0"/>
    <n v="0"/>
    <n v="0"/>
    <n v="1.7488137986634875"/>
    <n v="0"/>
    <n v="-1.5356647965699324"/>
    <m/>
    <n v="0"/>
    <n v="0"/>
    <n v="0"/>
    <n v="0"/>
    <n v="-0.19626650595664374"/>
    <n v="-6.7853152019620944E-2"/>
    <n v="0"/>
    <n v="4.3372152411395355"/>
    <m/>
    <m/>
    <m/>
    <n v="124.23370128769247"/>
    <n v="0"/>
    <n v="0"/>
    <n v="-6.1876499999999623"/>
    <n v="11.793099999999995"/>
    <n v="0"/>
    <n v="0"/>
    <n v="-19.1341539687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Intermediário"/>
    <s v="CATIVO"/>
    <x v="2"/>
    <n v="0"/>
    <n v="0"/>
    <n v="3.6999999999999998E-2"/>
    <n v="3.6999999999999998E-2"/>
    <n v="3.6999999999999998E-2"/>
    <n v="3.6999999999999998E-2"/>
    <m/>
    <n v="1539.04"/>
    <n v="207.07"/>
    <m/>
    <n v="64.606070000000003"/>
    <n v="64.606070000000003"/>
    <n v="63.750629999999994"/>
    <n v="0"/>
    <n v="2.9141293297985067"/>
    <n v="0"/>
    <n v="0"/>
    <n v="0"/>
    <n v="13.51133728104211"/>
    <n v="38.844888766349634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68.919600000000003"/>
    <n v="4.2835299999999989"/>
    <m/>
    <m/>
    <m/>
    <m/>
    <n v="-2.0845799999999968"/>
    <n v="1.2291399999999999"/>
    <n v="30"/>
    <n v="4.0637168098800167"/>
    <n v="0"/>
    <n v="0"/>
    <n v="0"/>
    <n v="0"/>
    <n v="0"/>
    <n v="0"/>
    <n v="0"/>
    <n v="2.9059066722178137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063553241694158"/>
    <m/>
    <m/>
    <m/>
    <n v="38.844888766349634"/>
    <n v="0"/>
    <n v="0"/>
    <n v="-2.0845800000000025"/>
    <n v="1.2291400000000001"/>
    <n v="0"/>
    <n v="0"/>
    <n v="-5.98278949148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2"/>
    <s v="Regular"/>
    <s v="Convencional"/>
    <s v="B2"/>
    <s v="Rural"/>
    <s v="Não se aplica"/>
    <s v="Não se aplica"/>
    <s v="Não se aplica"/>
    <s v="Não se aplica"/>
    <s v="CATIVO"/>
    <x v="2"/>
    <n v="0"/>
    <n v="0"/>
    <n v="47.582999999999998"/>
    <n v="47.582999999999998"/>
    <n v="47.582999999999998"/>
    <n v="47.582999999999998"/>
    <m/>
    <n v="897.25"/>
    <n v="207.07"/>
    <m/>
    <n v="52546.858559999993"/>
    <n v="52546.858559999993"/>
    <n v="52706.261609999994"/>
    <n v="0"/>
    <n v="3747.6490783730364"/>
    <n v="0"/>
    <n v="0"/>
    <n v="0"/>
    <n v="9495.0527398855156"/>
    <n v="27298.142888572533"/>
    <n v="9853.2483084345331"/>
    <n v="0"/>
    <n v="0"/>
    <n v="0"/>
    <n v="0"/>
    <n v="0"/>
    <n v="476.25489910058934"/>
    <m/>
    <n v="132.51629432241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.0838685612305"/>
    <n v="0"/>
    <n v="27.41"/>
    <n v="126.73"/>
    <n v="0"/>
    <n v="166"/>
    <m/>
    <m/>
    <m/>
    <m/>
    <m/>
    <n v="6324.7323600000009"/>
    <m/>
    <m/>
    <m/>
    <n v="11397.332176995764"/>
    <m/>
    <m/>
    <m/>
    <m/>
    <m/>
    <m/>
    <m/>
    <m/>
    <m/>
    <m/>
    <m/>
    <m/>
    <n v="46378.604999999996"/>
    <n v="136.93976999998995"/>
    <m/>
    <m/>
    <m/>
    <m/>
    <n v="-1421.3042100000002"/>
    <n v="1580.7072599999999"/>
    <n v="30"/>
    <n v="3531.0925403759138"/>
    <n v="0"/>
    <n v="0"/>
    <n v="0"/>
    <n v="0"/>
    <n v="0"/>
    <n v="0"/>
    <n v="0"/>
    <n v="2042.1174111764321"/>
    <n v="0"/>
    <n v="0"/>
    <n v="1495.807063618824"/>
    <n v="0"/>
    <n v="0"/>
    <n v="0"/>
    <n v="234.40509008959066"/>
    <n v="0"/>
    <n v="-205.83531835263921"/>
    <m/>
    <n v="0"/>
    <n v="0"/>
    <n v="0"/>
    <n v="0"/>
    <n v="-26.306899022352127"/>
    <n v="-9.0948071339426093"/>
    <n v="0"/>
    <n v="832.74059031444108"/>
    <m/>
    <m/>
    <m/>
    <n v="27298.142888572533"/>
    <n v="0"/>
    <n v="0"/>
    <n v="-1421.3042100000021"/>
    <n v="1580.7072599999992"/>
    <n v="0"/>
    <n v="0"/>
    <n v="-4204.389498788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3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34200000000000003"/>
    <n v="0.34200000000000003"/>
    <n v="0.34200000000000003"/>
    <n v="0.34200000000000003"/>
    <m/>
    <n v="897.25"/>
    <n v="207.07"/>
    <m/>
    <n v="377.67744000000005"/>
    <n v="377.67744000000005"/>
    <n v="378.82313999999997"/>
    <n v="0"/>
    <n v="26.936006237597013"/>
    <n v="0"/>
    <n v="0"/>
    <n v="0"/>
    <n v="68.24513034152632"/>
    <n v="196.20378849361762"/>
    <n v="70.819639818519448"/>
    <n v="0"/>
    <n v="0"/>
    <n v="0"/>
    <n v="0"/>
    <n v="0"/>
    <n v="3.423053937170871"/>
    <m/>
    <n v="0.95245303276937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8011538741586"/>
    <n v="0"/>
    <n v="0"/>
    <n v="0"/>
    <n v="0"/>
    <n v="3"/>
    <m/>
    <m/>
    <m/>
    <m/>
    <m/>
    <n v="45.45864000000001"/>
    <m/>
    <m/>
    <m/>
    <n v="81.917651357261036"/>
    <m/>
    <m/>
    <m/>
    <m/>
    <m/>
    <m/>
    <m/>
    <m/>
    <m/>
    <m/>
    <m/>
    <m/>
    <n v="331.41500000000002"/>
    <n v="-0.97401999999999589"/>
    <m/>
    <m/>
    <m/>
    <m/>
    <n v="-10.215540000000003"/>
    <n v="11.36124"/>
    <n v="30"/>
    <n v="25.379518920802838"/>
    <n v="0"/>
    <n v="0"/>
    <n v="0"/>
    <n v="0"/>
    <n v="0"/>
    <n v="0"/>
    <n v="0"/>
    <n v="14.677598188898131"/>
    <n v="0"/>
    <n v="0"/>
    <n v="10.751024856726929"/>
    <n v="0"/>
    <n v="0"/>
    <n v="0"/>
    <n v="1.6847727299800344"/>
    <n v="0"/>
    <n v="-1.4794291843011749"/>
    <m/>
    <n v="0"/>
    <n v="0"/>
    <n v="0"/>
    <n v="0"/>
    <n v="-0.18907928179485145"/>
    <n v="-6.536838870622641E-2"/>
    <n v="0"/>
    <n v="5.9852737718836329"/>
    <m/>
    <m/>
    <m/>
    <n v="196.20378849361762"/>
    <n v="0"/>
    <n v="0"/>
    <n v="-10.215540000000033"/>
    <n v="11.361239999999995"/>
    <n v="0"/>
    <n v="0"/>
    <n v="-30.218801012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.064"/>
    <n v="18.064"/>
    <n v="18.064"/>
    <n v="18.064"/>
    <m/>
    <n v="897.25"/>
    <n v="207.07"/>
    <m/>
    <n v="19948.43648"/>
    <n v="19948.43648"/>
    <n v="20008.95088"/>
    <n v="0"/>
    <n v="1422.7251949589252"/>
    <n v="0"/>
    <n v="0"/>
    <n v="0"/>
    <n v="3604.6199838869338"/>
    <n v="10363.231682306165"/>
    <n v="3740.6022622272958"/>
    <n v="0"/>
    <n v="0"/>
    <n v="0"/>
    <n v="0"/>
    <n v="0"/>
    <n v="180.80130503232343"/>
    <m/>
    <n v="50.307343812707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18269133283036"/>
    <n v="0"/>
    <n v="141.11000000000001"/>
    <n v="651.79999999999995"/>
    <n v="0"/>
    <n v="33"/>
    <m/>
    <m/>
    <m/>
    <m/>
    <m/>
    <m/>
    <m/>
    <m/>
    <m/>
    <n v="4326.7849535601263"/>
    <m/>
    <m/>
    <m/>
    <m/>
    <m/>
    <m/>
    <m/>
    <m/>
    <m/>
    <m/>
    <m/>
    <m/>
    <n v="20004.520199999999"/>
    <n v="56.053719999999885"/>
    <m/>
    <m/>
    <m/>
    <m/>
    <n v="-539.57168000000013"/>
    <n v="600.08608000000004"/>
    <n v="30"/>
    <n v="1340.5135373841586"/>
    <n v="0"/>
    <n v="0"/>
    <n v="0"/>
    <n v="0"/>
    <n v="0"/>
    <n v="0"/>
    <n v="0"/>
    <n v="775.25185287794147"/>
    <n v="0"/>
    <n v="0"/>
    <n v="567.85530120443036"/>
    <n v="0"/>
    <n v="0"/>
    <n v="0"/>
    <n v="88.987528053682354"/>
    <n v="0"/>
    <n v="-78.141546155603464"/>
    <m/>
    <n v="0"/>
    <n v="0"/>
    <n v="0"/>
    <n v="0"/>
    <n v="-9.9869244045093524"/>
    <n v="-3.4526741917815045"/>
    <n v="0"/>
    <n v="316.13446027867235"/>
    <m/>
    <m/>
    <m/>
    <n v="10363.231682306165"/>
    <n v="0"/>
    <n v="0"/>
    <n v="-539.57168000000092"/>
    <n v="600.08607999999958"/>
    <n v="0"/>
    <n v="0"/>
    <n v="-1596.118191499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88.34699999999998"/>
    <n v="288.34699999999998"/>
    <n v="288.34699999999998"/>
    <n v="288.34699999999998"/>
    <m/>
    <n v="493.49"/>
    <n v="113.89"/>
    <m/>
    <n v="175136.20085999998"/>
    <n v="175136.20085999998"/>
    <n v="175666.75933999999"/>
    <n v="0"/>
    <n v="12490.655335747979"/>
    <n v="0"/>
    <n v="0"/>
    <n v="0"/>
    <n v="31646.354471413659"/>
    <n v="90982.823363810137"/>
    <n v="32840.195542435227"/>
    <n v="0"/>
    <n v="0"/>
    <n v="0"/>
    <n v="0"/>
    <n v="0"/>
    <n v="1587.3246593326739"/>
    <m/>
    <n v="441.6676492747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3248047919133"/>
    <n v="0"/>
    <n v="1306.52"/>
    <n v="6030.14"/>
    <n v="0"/>
    <n v="3"/>
    <m/>
    <m/>
    <m/>
    <m/>
    <m/>
    <m/>
    <m/>
    <m/>
    <m/>
    <n v="37986.520347227139"/>
    <m/>
    <m/>
    <m/>
    <m/>
    <m/>
    <m/>
    <m/>
    <m/>
    <m/>
    <m/>
    <m/>
    <m/>
    <n v="175668.58700000003"/>
    <n v="532.35614000001806"/>
    <m/>
    <m/>
    <m/>
    <m/>
    <n v="-4737.5412100000012"/>
    <n v="5268.0996899999982"/>
    <n v="30"/>
    <n v="11768.887363278147"/>
    <n v="0"/>
    <n v="0"/>
    <n v="0"/>
    <n v="0"/>
    <n v="0"/>
    <n v="0"/>
    <n v="0"/>
    <n v="6806.2361775899844"/>
    <n v="0"/>
    <n v="0"/>
    <n v="4985.4215508754714"/>
    <n v="0"/>
    <n v="0"/>
    <n v="0"/>
    <n v="781.2559628782401"/>
    <n v="0"/>
    <n v="-686.03488845944048"/>
    <m/>
    <n v="0"/>
    <n v="0"/>
    <n v="0"/>
    <n v="0"/>
    <n v="-87.679076073785609"/>
    <n v="-30.312363532312531"/>
    <n v="0"/>
    <n v="2775.4668273851839"/>
    <m/>
    <m/>
    <m/>
    <n v="90982.823363810137"/>
    <n v="0"/>
    <n v="0"/>
    <n v="-4737.5412099999958"/>
    <n v="5268.0996900000027"/>
    <n v="0"/>
    <n v="0"/>
    <n v="-14012.93958649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1.76"/>
    <n v="20.4544"/>
    <n v="21.76"/>
    <n v="20.4544"/>
    <m/>
    <n v="897.25"/>
    <n v="207.07"/>
    <m/>
    <n v="24030.003199999999"/>
    <n v="24030.003199999999"/>
    <n v="24102.8992"/>
    <n v="0"/>
    <n v="1713.8230869301492"/>
    <n v="0"/>
    <n v="0"/>
    <n v="0"/>
    <n v="4342.1463047707975"/>
    <n v="12483.60946672842"/>
    <n v="4505.951352195857"/>
    <n v="0"/>
    <n v="0"/>
    <n v="0"/>
    <n v="0"/>
    <n v="0"/>
    <n v="217.79430898490691"/>
    <m/>
    <n v="60.60052044754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6.11909673396758"/>
    <n v="0"/>
    <n v="11.76"/>
    <n v="54.29"/>
    <n v="0"/>
    <n v="3"/>
    <m/>
    <m/>
    <m/>
    <m/>
    <n v="1446.1739520000021"/>
    <m/>
    <m/>
    <m/>
    <m/>
    <n v="5212.0704489298241"/>
    <m/>
    <m/>
    <m/>
    <m/>
    <m/>
    <m/>
    <m/>
    <m/>
    <m/>
    <m/>
    <m/>
    <m/>
    <n v="22651.851499999997"/>
    <n v="63.618492000001424"/>
    <m/>
    <m/>
    <m/>
    <m/>
    <n v="-649.97120000000018"/>
    <n v="722.86720000000003"/>
    <n v="30"/>
    <n v="1614.7904436159952"/>
    <n v="0"/>
    <n v="0"/>
    <n v="0"/>
    <n v="0"/>
    <n v="0"/>
    <n v="0"/>
    <n v="0"/>
    <n v="933.87291400708546"/>
    <n v="0"/>
    <n v="0"/>
    <n v="684.04181544555013"/>
    <n v="0"/>
    <n v="0"/>
    <n v="0"/>
    <n v="107.19489650399282"/>
    <n v="0"/>
    <n v="-94.129763305244296"/>
    <m/>
    <n v="0"/>
    <n v="0"/>
    <n v="0"/>
    <n v="0"/>
    <n v="-12.030307520046705"/>
    <n v="-4.1591115153435254"/>
    <n v="0"/>
    <n v="380.81741893622177"/>
    <m/>
    <m/>
    <m/>
    <n v="12483.60946672842"/>
    <n v="0"/>
    <n v="0"/>
    <n v="-649.97119999999995"/>
    <n v="722.86719999999968"/>
    <n v="0"/>
    <n v="0"/>
    <n v="-1922.6933041977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742"/>
    <n v="1.63748"/>
    <n v="1.742"/>
    <n v="1.63748"/>
    <m/>
    <n v="4750.8599999999997"/>
    <n v="207.07"/>
    <m/>
    <n v="8636.7140600000002"/>
    <n v="8636.7140600000002"/>
    <n v="8413.8077400000002"/>
    <n v="0"/>
    <n v="119.36431255358985"/>
    <n v="0"/>
    <n v="0"/>
    <n v="0"/>
    <n v="2242.5419422958826"/>
    <n v="5869.4142824043984"/>
    <n v="360.72459813994408"/>
    <n v="0"/>
    <n v="0"/>
    <n v="0"/>
    <n v="0"/>
    <n v="0"/>
    <n v="17.435555434361572"/>
    <m/>
    <n v="3.151868806391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08909027633872"/>
    <n v="0"/>
    <n v="0"/>
    <n v="0"/>
    <n v="0"/>
    <n v="0"/>
    <m/>
    <m/>
    <m/>
    <m/>
    <n v="504.82846439999975"/>
    <m/>
    <m/>
    <m/>
    <m/>
    <n v="384.81368841628279"/>
    <m/>
    <m/>
    <m/>
    <m/>
    <m/>
    <m/>
    <m/>
    <m/>
    <m/>
    <m/>
    <m/>
    <m/>
    <n v="7921.1508000000003"/>
    <n v="-197.39041639999959"/>
    <m/>
    <m/>
    <m/>
    <m/>
    <n v="-280.7755599999989"/>
    <n v="57.869239999999998"/>
    <n v="30"/>
    <n v="532.9900169950547"/>
    <n v="0"/>
    <n v="0"/>
    <n v="0"/>
    <n v="0"/>
    <n v="0"/>
    <n v="0"/>
    <n v="0"/>
    <n v="482.30737323015228"/>
    <n v="0"/>
    <n v="0"/>
    <n v="54.761068129878083"/>
    <n v="0"/>
    <n v="0"/>
    <n v="0"/>
    <n v="3.6569291936604813"/>
    <n v="0"/>
    <n v="-6.5559476782917727"/>
    <m/>
    <n v="0"/>
    <n v="0"/>
    <n v="0"/>
    <n v="0"/>
    <n v="-0.96308803768020823"/>
    <n v="-0.21631784266378595"/>
    <n v="0"/>
    <n v="148.09498609817413"/>
    <m/>
    <m/>
    <m/>
    <n v="5869.4142824043984"/>
    <n v="0"/>
    <n v="0"/>
    <n v="-280.77556000000004"/>
    <n v="57.869239999999991"/>
    <n v="0"/>
    <n v="0"/>
    <n v="-903.9920361509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7.077000000000002"/>
    <n v="16.052379999999999"/>
    <n v="17.077000000000002"/>
    <n v="16.052379999999999"/>
    <m/>
    <n v="94.17"/>
    <n v="207.07"/>
    <m/>
    <n v="5144.2754800000002"/>
    <n v="5144.2754800000002"/>
    <n v="5699.7902900000008"/>
    <n v="0"/>
    <n v="1170.1402786898129"/>
    <n v="0"/>
    <n v="0"/>
    <n v="0"/>
    <n v="0"/>
    <n v="0"/>
    <n v="3536.2192666106921"/>
    <n v="0"/>
    <n v="0"/>
    <n v="0"/>
    <n v="0"/>
    <n v="0"/>
    <n v="170.922491476804"/>
    <m/>
    <n v="30.89808473407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14775812229411"/>
    <n v="0"/>
    <n v="0"/>
    <n v="0"/>
    <n v="0"/>
    <n v="0"/>
    <m/>
    <m/>
    <m/>
    <m/>
    <n v="341.98741740000077"/>
    <m/>
    <m/>
    <m/>
    <m/>
    <n v="3772.367024732986"/>
    <m/>
    <m/>
    <m/>
    <m/>
    <m/>
    <m/>
    <m/>
    <m/>
    <m/>
    <m/>
    <m/>
    <m/>
    <n v="5357.0084999999999"/>
    <n v="521.35954880000008"/>
    <m/>
    <m/>
    <m/>
    <m/>
    <n v="-11.783129999999963"/>
    <n v="567.29794000000004"/>
    <n v="30"/>
    <n v="496.84701927281549"/>
    <n v="0"/>
    <n v="0"/>
    <n v="0"/>
    <n v="0"/>
    <n v="0"/>
    <n v="0"/>
    <n v="0"/>
    <n v="0"/>
    <n v="0"/>
    <n v="0"/>
    <n v="536.82822069685881"/>
    <n v="0"/>
    <n v="0"/>
    <n v="0"/>
    <n v="35.84924215851899"/>
    <n v="0"/>
    <n v="-64.268609932370055"/>
    <m/>
    <n v="0"/>
    <n v="0"/>
    <n v="0"/>
    <n v="0"/>
    <n v="-9.4412482316101602"/>
    <n v="-2.1205854185817863"/>
    <n v="0"/>
    <n v="58.595010941457687"/>
    <m/>
    <m/>
    <m/>
    <n v="0"/>
    <n v="0"/>
    <n v="0"/>
    <n v="-11.783130000000028"/>
    <n v="567.29794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9"/>
    <s v="Regular"/>
    <s v="Verde"/>
    <s v="A4"/>
    <s v="Serviço público"/>
    <s v="Água, esgoto e saneamento"/>
    <s v="Não se aplica"/>
    <s v="Não se aplica"/>
    <s v="Não se aplica"/>
    <s v="CATIVO"/>
    <x v="2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79"/>
    <n v="575.98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3.5000000000000003E-2"/>
    <n v="3.5000000000000003E-2"/>
    <n v="3.5000000000000003E-2"/>
    <n v="3.5000000000000003E-2"/>
    <m/>
    <n v="897.25"/>
    <n v="207.07"/>
    <m/>
    <n v="38.651200000000003"/>
    <n v="38.651200000000003"/>
    <n v="38.768450000000001"/>
    <n v="0"/>
    <n v="2.7566088254850745"/>
    <n v="0"/>
    <n v="0"/>
    <n v="0"/>
    <n v="6.9841507659456763"/>
    <n v="20.079335079756191"/>
    <n v="7.2476239580356161"/>
    <n v="0"/>
    <n v="0"/>
    <n v="0"/>
    <n v="0"/>
    <n v="0"/>
    <n v="0.35031253742976753"/>
    <m/>
    <n v="9.74732635875092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57614147834956"/>
    <n v="0"/>
    <n v="0.27"/>
    <n v="1.27"/>
    <n v="0"/>
    <n v="1"/>
    <m/>
    <m/>
    <m/>
    <m/>
    <m/>
    <m/>
    <m/>
    <m/>
    <m/>
    <n v="8.3833853728191112"/>
    <m/>
    <m/>
    <m/>
    <m/>
    <m/>
    <m/>
    <m/>
    <m/>
    <m/>
    <m/>
    <m/>
    <m/>
    <n v="44.306799999999996"/>
    <n v="5.6255999999999915"/>
    <m/>
    <m/>
    <m/>
    <m/>
    <n v="-1.0454500000000002"/>
    <n v="1.1627000000000001"/>
    <n v="30"/>
    <n v="2.5973191878014603"/>
    <n v="0"/>
    <n v="0"/>
    <n v="0"/>
    <n v="0"/>
    <n v="0"/>
    <n v="0"/>
    <n v="0"/>
    <n v="1.5020933819047801"/>
    <n v="0"/>
    <n v="0"/>
    <n v="1.1002510818287803"/>
    <n v="0"/>
    <n v="0"/>
    <n v="0"/>
    <n v="0.17241826184006204"/>
    <n v="0"/>
    <n v="-0.15140357149281014"/>
    <m/>
    <n v="0"/>
    <n v="0"/>
    <n v="0"/>
    <n v="0"/>
    <n v="-1.9350218897133953E-2"/>
    <n v="-6.6897473822161574E-3"/>
    <n v="0"/>
    <n v="0.61252801759043018"/>
    <m/>
    <m/>
    <m/>
    <n v="20.079335079756191"/>
    <n v="0"/>
    <n v="0"/>
    <n v="-1.0454499999999989"/>
    <n v="1.1626999999999992"/>
    <n v="0"/>
    <n v="0"/>
    <n v="-3.092567355097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22"/>
    <s v="Regular"/>
    <s v="Convencional"/>
    <s v="B2"/>
    <s v="Rural"/>
    <s v="Agropecuária rural"/>
    <s v="IRRIG./AQUIC."/>
    <s v="Não se aplica"/>
    <s v="Não se aplica"/>
    <s v="CATIVO"/>
    <x v="2"/>
    <n v="0"/>
    <n v="0"/>
    <n v="1.256"/>
    <n v="1.256"/>
    <n v="1.256"/>
    <n v="1.256"/>
    <m/>
    <n v="897.25"/>
    <n v="207.07"/>
    <m/>
    <n v="1387.02592"/>
    <n v="1387.02592"/>
    <n v="1391.23352"/>
    <n v="0"/>
    <n v="98.922876708835801"/>
    <n v="0"/>
    <n v="0"/>
    <n v="0"/>
    <n v="250.63123891507908"/>
    <n v="720.5612817192507"/>
    <n v="260.08616260836379"/>
    <n v="0"/>
    <n v="0"/>
    <n v="0"/>
    <n v="0"/>
    <n v="0"/>
    <n v="12.571215628908227"/>
    <m/>
    <n v="3.497897687597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757609627659157"/>
    <n v="0"/>
    <n v="0"/>
    <n v="0"/>
    <n v="0"/>
    <n v="0"/>
    <m/>
    <m/>
    <m/>
    <m/>
    <m/>
    <n v="166.94752000000003"/>
    <m/>
    <m/>
    <m/>
    <n v="300.84377223602297"/>
    <m/>
    <m/>
    <m/>
    <m/>
    <m/>
    <m/>
    <m/>
    <m/>
    <m/>
    <m/>
    <m/>
    <m/>
    <n v="1228.1849999999999"/>
    <n v="7.5616399999998976"/>
    <m/>
    <m/>
    <m/>
    <m/>
    <n v="-37.516720000000007"/>
    <n v="41.724319999999999"/>
    <n v="30"/>
    <n v="93.206654282246518"/>
    <n v="0"/>
    <n v="0"/>
    <n v="0"/>
    <n v="0"/>
    <n v="0"/>
    <n v="0"/>
    <n v="0"/>
    <n v="53.903693933497237"/>
    <n v="0"/>
    <n v="0"/>
    <n v="39.483295965055618"/>
    <n v="0"/>
    <n v="0"/>
    <n v="0"/>
    <n v="6.1873524820319403"/>
    <n v="0"/>
    <n v="-5.4332253084276942"/>
    <m/>
    <n v="0"/>
    <n v="0"/>
    <n v="0"/>
    <n v="0"/>
    <n v="-0.69439642670857715"/>
    <n v="-0.24006636320181407"/>
    <n v="0"/>
    <n v="21.981005431245151"/>
    <m/>
    <m/>
    <m/>
    <n v="720.5612817192507"/>
    <n v="0"/>
    <n v="0"/>
    <n v="-37.51671999999985"/>
    <n v="41.724319999999977"/>
    <n v="0"/>
    <n v="0"/>
    <n v="-110.97898851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0000000000000001E-3"/>
    <n v="1.6000000000000001E-3"/>
    <n v="4.0000000000000001E-3"/>
    <n v="1.6000000000000001E-3"/>
    <m/>
    <n v="897.25"/>
    <n v="207.07"/>
    <m/>
    <n v="4.4172799999999999"/>
    <n v="4.4172799999999999"/>
    <n v="4.4306800000000006"/>
    <n v="0"/>
    <n v="0.31504100862686563"/>
    <n v="0"/>
    <n v="0"/>
    <n v="0"/>
    <n v="0.79818865896522007"/>
    <n v="2.2947811519721357"/>
    <n v="0.82829988091835605"/>
    <n v="0"/>
    <n v="0"/>
    <n v="0"/>
    <n v="0"/>
    <n v="0"/>
    <n v="4.0035718563402004E-2"/>
    <m/>
    <n v="1.11398015528582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98013045466852"/>
    <n v="0"/>
    <n v="0"/>
    <n v="0"/>
    <n v="0"/>
    <n v="0"/>
    <m/>
    <m/>
    <m/>
    <m/>
    <m/>
    <m/>
    <n v="2.8710800000000005"/>
    <m/>
    <m/>
    <n v="0.95810118546504119"/>
    <m/>
    <m/>
    <m/>
    <m/>
    <m/>
    <m/>
    <m/>
    <m/>
    <m/>
    <m/>
    <m/>
    <m/>
    <n v="0"/>
    <n v="-1.5848960000000003"/>
    <m/>
    <m/>
    <m/>
    <m/>
    <n v="-0.11948000000000002"/>
    <n v="0.13288"/>
    <n v="30"/>
    <n v="0.29683647860588147"/>
    <n v="0"/>
    <n v="0"/>
    <n v="0"/>
    <n v="0"/>
    <n v="0"/>
    <n v="0"/>
    <n v="0"/>
    <n v="0.17166781507483198"/>
    <n v="0"/>
    <n v="0"/>
    <n v="0.125742980780432"/>
    <n v="0"/>
    <n v="0"/>
    <n v="0"/>
    <n v="1.9704944210292813E-2"/>
    <n v="0"/>
    <n v="-1.7303265313463989E-2"/>
    <m/>
    <n v="0"/>
    <n v="0"/>
    <n v="0"/>
    <n v="0"/>
    <n v="-2.2114535882438793E-3"/>
    <n v="-7.6454255796756104E-4"/>
    <n v="0"/>
    <n v="7.0003202010334872E-2"/>
    <m/>
    <m/>
    <m/>
    <n v="2.2947811519721357"/>
    <n v="0"/>
    <n v="0"/>
    <n v="-0.11947999999999981"/>
    <n v="0.13288"/>
    <n v="0"/>
    <n v="0"/>
    <n v="-0.3534362691539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4"/>
    <s v="Regular"/>
    <s v="Verde"/>
    <s v="A4"/>
    <s v="Rural"/>
    <s v="Agropecuária rural"/>
    <s v="Não se aplica"/>
    <s v="Não se aplica"/>
    <s v="Ponta"/>
    <s v="CATIVO"/>
    <x v="2"/>
    <n v="0"/>
    <n v="0"/>
    <n v="0.375"/>
    <n v="0.36"/>
    <n v="0.375"/>
    <n v="0.36"/>
    <m/>
    <n v="4750.8599999999997"/>
    <n v="207.07"/>
    <m/>
    <n v="1859.2237499999997"/>
    <n v="1859.2237499999997"/>
    <n v="1811.2387500000002"/>
    <n v="0"/>
    <n v="25.695532266128701"/>
    <n v="0"/>
    <n v="0"/>
    <n v="0"/>
    <n v="482.75156622328126"/>
    <n v="1263.5076669929099"/>
    <n v="77.653113836095883"/>
    <n v="0"/>
    <n v="0"/>
    <n v="0"/>
    <n v="0"/>
    <n v="0"/>
    <n v="3.7533486153189375"/>
    <m/>
    <n v="0.67850218277668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85653762128025"/>
    <n v="0"/>
    <n v="0"/>
    <n v="0"/>
    <n v="0"/>
    <n v="0"/>
    <m/>
    <m/>
    <m/>
    <m/>
    <m/>
    <n v="72.449550000000059"/>
    <m/>
    <m/>
    <m/>
    <n v="82.83876759822391"/>
    <m/>
    <m/>
    <m/>
    <m/>
    <m/>
    <m/>
    <m/>
    <m/>
    <m/>
    <m/>
    <m/>
    <m/>
    <n v="1738.7892000000002"/>
    <n v="-46.095599999999649"/>
    <m/>
    <m/>
    <m/>
    <m/>
    <n v="-60.442499999999768"/>
    <n v="12.4575"/>
    <n v="30"/>
    <n v="114.73665693062333"/>
    <n v="0"/>
    <n v="0"/>
    <n v="0"/>
    <n v="0"/>
    <n v="0"/>
    <n v="0"/>
    <n v="0"/>
    <n v="103.82621409948746"/>
    <n v="0"/>
    <n v="0"/>
    <n v="11.788404448165494"/>
    <n v="0"/>
    <n v="0"/>
    <n v="0"/>
    <n v="0.78722643376732471"/>
    <n v="0"/>
    <n v="-1.4112975771293996"/>
    <m/>
    <n v="0"/>
    <n v="0"/>
    <n v="0"/>
    <n v="0"/>
    <n v="-0.20732377389786327"/>
    <n v="-4.6566699769758801E-2"/>
    <n v="0"/>
    <n v="31.880378752477206"/>
    <m/>
    <m/>
    <m/>
    <n v="1263.5076669929099"/>
    <n v="0"/>
    <n v="0"/>
    <n v="-60.442499999999654"/>
    <n v="12.457499999999996"/>
    <n v="0"/>
    <n v="0"/>
    <n v="-194.6021891829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5"/>
    <s v="Regular"/>
    <s v="Verde"/>
    <s v="A4"/>
    <s v="Rural"/>
    <s v="Agropecuária rural"/>
    <s v="Não se aplica"/>
    <s v="Não se aplica"/>
    <s v="Fora ponta"/>
    <s v="CATIVO"/>
    <x v="2"/>
    <n v="0"/>
    <n v="0"/>
    <n v="11.494999999999999"/>
    <n v="11.0352"/>
    <n v="11.494999999999999"/>
    <n v="11.0352"/>
    <m/>
    <n v="94.17"/>
    <n v="207.07"/>
    <m/>
    <n v="3462.7537999999995"/>
    <n v="3462.7537999999995"/>
    <n v="3836.6861499999995"/>
    <n v="0"/>
    <n v="787.65371573106506"/>
    <n v="0"/>
    <n v="0"/>
    <n v="0"/>
    <n v="0"/>
    <n v="0"/>
    <n v="2380.3267827891254"/>
    <n v="0"/>
    <n v="0"/>
    <n v="0"/>
    <n v="0"/>
    <n v="0"/>
    <n v="115.0526462215765"/>
    <m/>
    <n v="20.79835357604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95757332176439"/>
    <n v="0"/>
    <n v="0"/>
    <n v="0"/>
    <n v="0"/>
    <n v="0"/>
    <m/>
    <m/>
    <m/>
    <m/>
    <m/>
    <n v="153.46744599999985"/>
    <m/>
    <m/>
    <m/>
    <n v="2539.2843561108898"/>
    <m/>
    <m/>
    <m/>
    <m/>
    <m/>
    <m/>
    <m/>
    <m/>
    <m/>
    <m/>
    <m/>
    <m/>
    <n v="3684.8207999999995"/>
    <n v="360.54715199999964"/>
    <m/>
    <m/>
    <m/>
    <m/>
    <n v="-7.931549999999973"/>
    <n v="381.86389999999994"/>
    <n v="30"/>
    <n v="334.44144091708222"/>
    <n v="0"/>
    <n v="0"/>
    <n v="0"/>
    <n v="0"/>
    <n v="0"/>
    <n v="0"/>
    <n v="0"/>
    <n v="0"/>
    <n v="0"/>
    <n v="0"/>
    <n v="361.35389101776627"/>
    <n v="0"/>
    <n v="0"/>
    <n v="0"/>
    <n v="24.131114283081075"/>
    <n v="0"/>
    <n v="-43.260975064273225"/>
    <m/>
    <n v="0"/>
    <n v="0"/>
    <n v="0"/>
    <n v="0"/>
    <n v="-6.3551647492158452"/>
    <n v="-1.4274245702756687"/>
    <n v="0"/>
    <n v="39.441919000530305"/>
    <m/>
    <m/>
    <m/>
    <n v="0"/>
    <n v="0"/>
    <n v="0"/>
    <n v="-7.9315500000000156"/>
    <n v="381.8638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Agropecuária rural"/>
    <s v="Não se aplica"/>
    <s v="Não se aplica"/>
    <s v="Não se aplica"/>
    <s v="CATIVO"/>
    <x v="2"/>
    <n v="224"/>
    <n v="215.04"/>
    <n v="0"/>
    <n v="0"/>
    <n v="0"/>
    <n v="0"/>
    <n v="73.75"/>
    <m/>
    <m/>
    <n v="16520"/>
    <m/>
    <n v="16520"/>
    <n v="16667.84"/>
    <n v="0"/>
    <n v="0"/>
    <n v="0"/>
    <n v="0"/>
    <n v="0"/>
    <n v="6509.0492349998749"/>
    <n v="10010.923657910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66.71360000000061"/>
    <m/>
    <m/>
    <m/>
    <n v="0"/>
    <m/>
    <m/>
    <m/>
    <m/>
    <m/>
    <m/>
    <m/>
    <m/>
    <m/>
    <m/>
    <m/>
    <m/>
    <n v="16001.126399999999"/>
    <n v="141.89639999999963"/>
    <m/>
    <m/>
    <m/>
    <m/>
    <n v="147.83999999999924"/>
    <n v="0"/>
    <n v="30"/>
    <n v="1399.912474120496"/>
    <n v="0"/>
    <n v="0"/>
    <n v="0"/>
    <n v="0"/>
    <m/>
    <m/>
    <m/>
    <n v="1399.912474120496"/>
    <n v="0"/>
    <n v="0"/>
    <m/>
    <m/>
    <n v="0"/>
    <n v="0"/>
    <n v="0"/>
    <n v="0"/>
    <n v="0"/>
    <m/>
    <n v="0"/>
    <n v="0"/>
    <m/>
    <n v="0"/>
    <n v="0"/>
    <n v="0"/>
    <n v="0"/>
    <n v="289.42243274424931"/>
    <m/>
    <m/>
    <n v="10010.923657910156"/>
    <m/>
    <n v="0"/>
    <n v="0"/>
    <n v="147.84000000000015"/>
    <m/>
    <n v="0"/>
    <m/>
    <n v="-1541.8566190490401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7"/>
    <s v="Regular"/>
    <s v="Verde"/>
    <s v="A4"/>
    <s v="Rural"/>
    <s v="Agropecuária rural"/>
    <s v="IRRIG./AQUIC. PR"/>
    <s v="Não se aplica"/>
    <s v="Fora ponta"/>
    <s v="CATIVO"/>
    <x v="2"/>
    <n v="0"/>
    <n v="0"/>
    <n v="5.0410000000000004"/>
    <n v="1.5123"/>
    <n v="5.0410000000000004"/>
    <n v="1.5123"/>
    <m/>
    <n v="94.17"/>
    <n v="207.07"/>
    <m/>
    <n v="1518.5508400000001"/>
    <n v="1518.5508400000001"/>
    <n v="1682.53457"/>
    <n v="0"/>
    <n v="345.41647507614613"/>
    <n v="0"/>
    <n v="0"/>
    <n v="0"/>
    <n v="0"/>
    <n v="0"/>
    <n v="1043.8649249273583"/>
    <n v="0"/>
    <n v="0"/>
    <n v="0"/>
    <n v="0"/>
    <n v="0"/>
    <n v="50.455014319527372"/>
    <m/>
    <n v="9.120878675672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709014973033007"/>
    <n v="0"/>
    <n v="0"/>
    <n v="0"/>
    <n v="0"/>
    <n v="0"/>
    <m/>
    <m/>
    <m/>
    <m/>
    <m/>
    <m/>
    <n v="1177.7741990000002"/>
    <m/>
    <m/>
    <n v="1113.5739399003912"/>
    <m/>
    <m/>
    <m/>
    <m/>
    <m/>
    <m/>
    <m/>
    <m/>
    <m/>
    <m/>
    <m/>
    <m/>
    <n v="503.99270000000001"/>
    <n v="48.397448000000054"/>
    <m/>
    <m/>
    <m/>
    <m/>
    <n v="-3.4782899999999888"/>
    <n v="167.46202"/>
    <n v="30"/>
    <n v="146.6654461646815"/>
    <n v="0"/>
    <n v="0"/>
    <n v="0"/>
    <n v="0"/>
    <n v="0"/>
    <n v="0"/>
    <n v="0"/>
    <n v="0"/>
    <n v="0"/>
    <n v="0"/>
    <n v="158.46759152853929"/>
    <n v="0"/>
    <n v="0"/>
    <n v="0"/>
    <n v="10.582422540322895"/>
    <n v="0"/>
    <n v="-18.971602896824834"/>
    <m/>
    <n v="0"/>
    <n v="0"/>
    <n v="0"/>
    <n v="0"/>
    <n v="-2.7869843845843434"/>
    <n v="-0.62598062277161048"/>
    <n v="0"/>
    <n v="17.296799798318688"/>
    <m/>
    <m/>
    <m/>
    <n v="0"/>
    <n v="0"/>
    <n v="0"/>
    <n v="-3.4782899999999586"/>
    <n v="167.4620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"/>
    <s v="Não se aplica"/>
    <s v="Não se aplica"/>
    <s v="Não se aplica"/>
    <s v="CATIVO"/>
    <x v="3"/>
    <n v="0"/>
    <n v="0"/>
    <n v="680.02599999999995"/>
    <n v="680.02599999999995"/>
    <n v="680.02599999999995"/>
    <n v="680.02599999999995"/>
    <m/>
    <n v="897.25"/>
    <n v="207.07"/>
    <m/>
    <n v="750966.31231999991"/>
    <n v="750966.31231999991"/>
    <n v="753244.39941999991"/>
    <n v="0"/>
    <n v="53559.019233123225"/>
    <n v="0"/>
    <n v="0"/>
    <n v="0"/>
    <n v="135697.26025037066"/>
    <n v="390127.71191275091"/>
    <n v="140816.36370534648"/>
    <n v="0"/>
    <n v="0"/>
    <n v="0"/>
    <n v="0"/>
    <n v="0"/>
    <n v="6806.3323879490017"/>
    <m/>
    <n v="1893.8386726959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7.065481416037"/>
    <n v="0"/>
    <n v="1343.22"/>
    <n v="6232"/>
    <n v="0"/>
    <n v="6215"/>
    <m/>
    <m/>
    <m/>
    <m/>
    <m/>
    <m/>
    <m/>
    <m/>
    <m/>
    <n v="162883.42918676251"/>
    <m/>
    <m/>
    <m/>
    <m/>
    <m/>
    <m/>
    <m/>
    <m/>
    <m/>
    <m/>
    <m/>
    <m/>
    <n v="753248.83010000002"/>
    <n v="2282.4877800000831"/>
    <m/>
    <m/>
    <m/>
    <m/>
    <n v="-20312.376620000003"/>
    <n v="22590.463719999996"/>
    <n v="31"/>
    <n v="50464.130800110754"/>
    <n v="0"/>
    <n v="0"/>
    <n v="0"/>
    <n v="0"/>
    <n v="0"/>
    <n v="0"/>
    <n v="0"/>
    <n v="29184.644403519429"/>
    <n v="0"/>
    <n v="0"/>
    <n v="21377.124062048504"/>
    <n v="0"/>
    <n v="0"/>
    <n v="0"/>
    <n v="3349.9685978871421"/>
    <n v="0"/>
    <n v="-2941.6675745134198"/>
    <m/>
    <n v="0"/>
    <n v="0"/>
    <n v="0"/>
    <n v="0"/>
    <n v="-375.9614844497828"/>
    <n v="-129.97720438111196"/>
    <n v="0"/>
    <n v="11900.999362569995"/>
    <m/>
    <m/>
    <m/>
    <n v="390127.71191275091"/>
    <n v="0"/>
    <n v="0"/>
    <n v="-20312.376619999995"/>
    <n v="22590.46372"/>
    <n v="0"/>
    <n v="0"/>
    <n v="-60086.46309192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109"/>
    <n v="-2.109"/>
    <n v="-2.109"/>
    <n v="-2.109"/>
    <m/>
    <n v="897.25"/>
    <n v="207.07"/>
    <m/>
    <n v="-2329.0108799999998"/>
    <n v="-2329.0108799999998"/>
    <n v="-2336.0760299999997"/>
    <n v="0"/>
    <n v="-166.10537179851491"/>
    <n v="0"/>
    <n v="0"/>
    <n v="0"/>
    <n v="-420.84497043941224"/>
    <n v="-1209.9233623773086"/>
    <n v="-436.72111221420323"/>
    <n v="0"/>
    <n v="0"/>
    <n v="0"/>
    <n v="0"/>
    <n v="0"/>
    <n v="-21.108832612553705"/>
    <m/>
    <n v="-5.8734603687444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8.437737822239768"/>
    <n v="0"/>
    <n v="-150.59"/>
    <n v="-689.05"/>
    <n v="0"/>
    <n v="0"/>
    <m/>
    <m/>
    <m/>
    <m/>
    <m/>
    <m/>
    <m/>
    <m/>
    <m/>
    <n v="-505.15885003644303"/>
    <m/>
    <m/>
    <m/>
    <m/>
    <m/>
    <m/>
    <m/>
    <m/>
    <m/>
    <m/>
    <m/>
    <m/>
    <n v="-2337.1836999999996"/>
    <n v="-8.2028199999999742"/>
    <m/>
    <m/>
    <m/>
    <m/>
    <n v="62.995830000000012"/>
    <n v="-70.060980000000001"/>
    <n v="31"/>
    <n v="-156.50703334495097"/>
    <n v="0"/>
    <n v="0"/>
    <n v="0"/>
    <n v="0"/>
    <n v="0"/>
    <n v="0"/>
    <n v="0"/>
    <n v="-90.511855498205193"/>
    <n v="0"/>
    <n v="0"/>
    <n v="-66.297986616482717"/>
    <n v="0"/>
    <n v="0"/>
    <n v="0"/>
    <n v="-10.389431834876888"/>
    <n v="0"/>
    <n v="9.1231466365238987"/>
    <m/>
    <n v="0"/>
    <n v="0"/>
    <n v="0"/>
    <n v="0"/>
    <n v="1.1659889044015834"/>
    <n v="0.40310506368839683"/>
    <n v="0"/>
    <n v="-36.909188259949069"/>
    <m/>
    <m/>
    <m/>
    <n v="-1209.9233623773086"/>
    <n v="0"/>
    <n v="0"/>
    <n v="62.995830000000069"/>
    <n v="-70.060979999999972"/>
    <n v="0"/>
    <n v="0"/>
    <n v="186.3492729114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.1900000000000004"/>
    <n v="4.1900000000000004"/>
    <n v="4.1900000000000004"/>
    <n v="4.1900000000000004"/>
    <m/>
    <n v="897.25"/>
    <n v="207.07"/>
    <m/>
    <n v="4627.1008000000002"/>
    <n v="4627.1008000000002"/>
    <n v="4641.1373000000003"/>
    <n v="0"/>
    <n v="330.00545653664176"/>
    <n v="0"/>
    <n v="0"/>
    <n v="0"/>
    <n v="836.10262026606813"/>
    <n v="2403.7832566908123"/>
    <n v="867.64412526197805"/>
    <n v="0"/>
    <n v="0"/>
    <n v="0"/>
    <n v="0"/>
    <n v="0"/>
    <n v="41.937415195163602"/>
    <m/>
    <n v="11.66894212661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96686651265276"/>
    <n v="0"/>
    <n v="6.84"/>
    <n v="31.67"/>
    <n v="0"/>
    <n v="40"/>
    <m/>
    <m/>
    <m/>
    <m/>
    <m/>
    <m/>
    <m/>
    <m/>
    <m/>
    <n v="1003.6109917746307"/>
    <m/>
    <m/>
    <m/>
    <m/>
    <m/>
    <m/>
    <m/>
    <m/>
    <m/>
    <m/>
    <m/>
    <m/>
    <n v="4641.1373000000003"/>
    <n v="14.006499999999505"/>
    <m/>
    <m/>
    <m/>
    <m/>
    <n v="-125.15530000000003"/>
    <n v="139.1918"/>
    <n v="31"/>
    <n v="310.93621133966008"/>
    <n v="0"/>
    <n v="0"/>
    <n v="0"/>
    <n v="0"/>
    <n v="0"/>
    <n v="0"/>
    <n v="0"/>
    <n v="179.82203629088644"/>
    <n v="0"/>
    <n v="0"/>
    <n v="131.7157723675025"/>
    <n v="0"/>
    <n v="0"/>
    <n v="0"/>
    <n v="20.640929060281735"/>
    <n v="0"/>
    <n v="-18.125170415853518"/>
    <m/>
    <n v="0"/>
    <n v="0"/>
    <n v="0"/>
    <n v="0"/>
    <n v="-2.316497633685465"/>
    <n v="-0.8008583294710192"/>
    <n v="0"/>
    <n v="73.328354105825795"/>
    <m/>
    <m/>
    <m/>
    <n v="2403.7832566908123"/>
    <n v="0"/>
    <n v="0"/>
    <n v="-125.1552999999999"/>
    <n v="139.19179999999994"/>
    <n v="0"/>
    <n v="0"/>
    <n v="-370.2244919388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2799999999999998"/>
    <n v="2.2799999999999998"/>
    <n v="2.2799999999999998"/>
    <n v="2.2799999999999998"/>
    <m/>
    <n v="808.48"/>
    <n v="207.07"/>
    <m/>
    <n v="2315.4539999999997"/>
    <n v="2315.4539999999997"/>
    <n v="2330.6615999999995"/>
    <n v="0"/>
    <n v="0"/>
    <n v="0"/>
    <n v="0"/>
    <n v="0"/>
    <n v="454.96753561017539"/>
    <n v="1308.0252566241172"/>
    <n v="472.13093212346291"/>
    <n v="0"/>
    <n v="0"/>
    <n v="0"/>
    <n v="0"/>
    <n v="0"/>
    <n v="0"/>
    <m/>
    <n v="6.3496868851291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986743591610562"/>
    <n v="0"/>
    <n v="2.31"/>
    <n v="10.95"/>
    <n v="0"/>
    <n v="3"/>
    <m/>
    <m/>
    <m/>
    <m/>
    <m/>
    <m/>
    <m/>
    <n v="1514.9231999999997"/>
    <m/>
    <n v="546.11767571507346"/>
    <m/>
    <m/>
    <m/>
    <m/>
    <m/>
    <m/>
    <m/>
    <m/>
    <m/>
    <m/>
    <m/>
    <m/>
    <n v="815.73839999999984"/>
    <n v="5.282399999999825"/>
    <m/>
    <m/>
    <m/>
    <m/>
    <n v="-60.534000000000148"/>
    <n v="75.741599999999991"/>
    <n v="31"/>
    <n v="180.320182579326"/>
    <n v="0"/>
    <n v="0"/>
    <n v="0"/>
    <n v="0"/>
    <n v="0"/>
    <n v="0"/>
    <n v="0"/>
    <n v="97.85065459265428"/>
    <n v="0"/>
    <n v="0"/>
    <n v="71.673499044846153"/>
    <n v="0"/>
    <n v="0"/>
    <n v="0"/>
    <n v="11.231818199866893"/>
    <n v="0"/>
    <n v="0"/>
    <m/>
    <n v="0"/>
    <n v="0"/>
    <n v="0"/>
    <n v="0"/>
    <n v="0"/>
    <n v="-0.4357892580415097"/>
    <n v="0"/>
    <n v="36.355978709552431"/>
    <m/>
    <m/>
    <m/>
    <n v="1308.0252566241172"/>
    <n v="0"/>
    <n v="0"/>
    <n v="-60.534000000000333"/>
    <n v="75.741600000000005"/>
    <n v="0"/>
    <n v="0"/>
    <n v="-201.4586734177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.46"/>
    <n v="4.46"/>
    <n v="4.46"/>
    <n v="4.46"/>
    <m/>
    <n v="808.48"/>
    <n v="207.07"/>
    <m/>
    <n v="4529.3530000000001"/>
    <n v="4529.3530000000001"/>
    <n v="4559.1012000000001"/>
    <n v="0"/>
    <n v="0"/>
    <n v="0"/>
    <n v="0"/>
    <n v="0"/>
    <n v="889.98035474622031"/>
    <n v="2558.6809844489312"/>
    <n v="923.55436722396701"/>
    <n v="0"/>
    <n v="0"/>
    <n v="0"/>
    <n v="0"/>
    <n v="0"/>
    <n v="0"/>
    <m/>
    <n v="12.4208787314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728454569554"/>
    <n v="0"/>
    <n v="7.18"/>
    <n v="33.369999999999997"/>
    <n v="0"/>
    <n v="28"/>
    <m/>
    <m/>
    <m/>
    <m/>
    <m/>
    <m/>
    <m/>
    <n v="1823.6047999999996"/>
    <m/>
    <n v="1068.282821793521"/>
    <m/>
    <m/>
    <m/>
    <m/>
    <m/>
    <m/>
    <m/>
    <m/>
    <m/>
    <m/>
    <m/>
    <m/>
    <n v="2735.4964000000004"/>
    <n v="17.854600000000119"/>
    <m/>
    <m/>
    <m/>
    <m/>
    <n v="-118.41300000000031"/>
    <n v="148.16119999999998"/>
    <n v="31"/>
    <n v="352.73158522096219"/>
    <n v="0"/>
    <n v="0"/>
    <n v="0"/>
    <n v="0"/>
    <n v="0"/>
    <n v="0"/>
    <n v="0"/>
    <n v="191.40961380843771"/>
    <n v="0"/>
    <n v="0"/>
    <n v="140.2034235701816"/>
    <n v="0"/>
    <n v="0"/>
    <n v="0"/>
    <n v="21.971012794476479"/>
    <n v="0"/>
    <n v="0"/>
    <m/>
    <n v="0"/>
    <n v="0"/>
    <n v="0"/>
    <n v="0"/>
    <n v="0"/>
    <n v="-0.85246495213383078"/>
    <n v="0"/>
    <n v="71.117396949387654"/>
    <m/>
    <m/>
    <m/>
    <n v="2558.6809844489312"/>
    <n v="0"/>
    <n v="0"/>
    <n v="-118.41300000000001"/>
    <n v="148.16119999999989"/>
    <n v="0"/>
    <n v="0"/>
    <n v="-394.0814401067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3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5980000000000001"/>
    <n v="1.5980000000000001"/>
    <n v="1.5980000000000001"/>
    <n v="1.5980000000000001"/>
    <m/>
    <n v="808.48"/>
    <n v="207.07"/>
    <m/>
    <n v="1622.8489000000002"/>
    <n v="1622.8489000000002"/>
    <n v="1633.50756"/>
    <n v="0"/>
    <n v="0"/>
    <n v="0"/>
    <n v="0"/>
    <n v="0"/>
    <n v="318.87636925660541"/>
    <n v="916.7650702128683"/>
    <n v="330.90580242688327"/>
    <n v="0"/>
    <n v="0"/>
    <n v="0"/>
    <n v="0"/>
    <n v="0"/>
    <n v="0"/>
    <m/>
    <n v="4.4503507203668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55621166400738"/>
    <n v="0"/>
    <n v="3.51"/>
    <n v="16.45"/>
    <n v="0"/>
    <n v="42"/>
    <m/>
    <m/>
    <m/>
    <m/>
    <m/>
    <m/>
    <m/>
    <n v="163.34755999999993"/>
    <m/>
    <n v="382.76142359328401"/>
    <m/>
    <m/>
    <m/>
    <m/>
    <m/>
    <m/>
    <m/>
    <m/>
    <m/>
    <m/>
    <m/>
    <m/>
    <n v="1472.0000000000002"/>
    <n v="11.398000000000138"/>
    <m/>
    <m/>
    <m/>
    <m/>
    <n v="-42.42690000000011"/>
    <n v="53.085560000000001"/>
    <n v="31"/>
    <n v="126.38230340428197"/>
    <n v="0"/>
    <n v="0"/>
    <n v="0"/>
    <n v="0"/>
    <n v="0"/>
    <n v="0"/>
    <n v="0"/>
    <n v="68.581292122395382"/>
    <n v="0"/>
    <n v="0"/>
    <n v="50.234320821782546"/>
    <n v="0"/>
    <n v="0"/>
    <n v="0"/>
    <n v="7.87212521201198"/>
    <n v="0"/>
    <n v="0"/>
    <m/>
    <n v="0"/>
    <n v="0"/>
    <n v="0"/>
    <n v="0"/>
    <n v="0"/>
    <n v="-0.30543475190803981"/>
    <n v="0"/>
    <n v="25.481076306081047"/>
    <m/>
    <m/>
    <m/>
    <n v="916.7650702128683"/>
    <n v="0"/>
    <n v="0"/>
    <n v="-42.42690000000016"/>
    <n v="53.085560000000044"/>
    <n v="0"/>
    <n v="0"/>
    <n v="-141.1977895270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18"/>
    <n v="0.18"/>
    <n v="0.18"/>
    <n v="0.18"/>
    <m/>
    <n v="808.48"/>
    <n v="207.07"/>
    <m/>
    <n v="182.79899999999998"/>
    <n v="182.79899999999998"/>
    <n v="183.99959999999999"/>
    <n v="0"/>
    <n v="0"/>
    <n v="0"/>
    <n v="0"/>
    <n v="0"/>
    <n v="35.918489653434904"/>
    <n v="103.26515183874611"/>
    <n v="37.273494641326018"/>
    <n v="0"/>
    <n v="0"/>
    <n v="0"/>
    <n v="0"/>
    <n v="0"/>
    <n v="0"/>
    <m/>
    <n v="0.50129106987861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41058704600834"/>
    <n v="0"/>
    <n v="1.34"/>
    <n v="6.18"/>
    <n v="0"/>
    <n v="3"/>
    <m/>
    <m/>
    <m/>
    <m/>
    <m/>
    <m/>
    <m/>
    <m/>
    <m/>
    <n v="43.114553345926851"/>
    <m/>
    <m/>
    <m/>
    <m/>
    <m/>
    <m/>
    <m/>
    <m/>
    <m/>
    <m/>
    <m/>
    <m/>
    <n v="183.99959999999999"/>
    <n v="1.1706000000000358"/>
    <m/>
    <m/>
    <m/>
    <m/>
    <n v="-4.7790000000000123"/>
    <n v="5.9795999999999996"/>
    <n v="31"/>
    <n v="14.235803887841513"/>
    <n v="0"/>
    <n v="0"/>
    <n v="0"/>
    <n v="0"/>
    <n v="0"/>
    <n v="0"/>
    <n v="0"/>
    <n v="7.7250516783674357"/>
    <n v="0"/>
    <n v="0"/>
    <n v="5.6584341351194425"/>
    <n v="0"/>
    <n v="0"/>
    <n v="0"/>
    <n v="0.88672248946317644"/>
    <n v="0"/>
    <n v="0"/>
    <m/>
    <n v="0"/>
    <n v="0"/>
    <n v="0"/>
    <n v="0"/>
    <n v="0"/>
    <n v="-3.4404415108540254E-2"/>
    <n v="0"/>
    <n v="2.8702088454909815"/>
    <m/>
    <m/>
    <m/>
    <n v="103.26515183874611"/>
    <n v="0"/>
    <n v="0"/>
    <n v="-4.7789999999999964"/>
    <n v="5.9795999999999978"/>
    <n v="0"/>
    <n v="0"/>
    <n v="-15.90463211192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4000000000000001"/>
    <n v="-0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Ponta"/>
    <s v="CATIVO"/>
    <x v="3"/>
    <n v="0"/>
    <n v="0"/>
    <n v="3.0000000000000001E-3"/>
    <n v="3.0000000000000001E-3"/>
    <n v="3.0000000000000001E-3"/>
    <n v="3.0000000000000001E-3"/>
    <m/>
    <n v="2211.7600000000002"/>
    <n v="207.07"/>
    <m/>
    <n v="7.2564900000000012"/>
    <n v="7.2564900000000012"/>
    <n v="7.1038800000000002"/>
    <n v="0"/>
    <n v="0.23628075647014921"/>
    <n v="0"/>
    <n v="0"/>
    <n v="0"/>
    <n v="1.616335395463095"/>
    <n v="4.64693034123366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m/>
    <m/>
    <m/>
    <n v="0.71857588909878101"/>
    <m/>
    <m/>
    <m/>
    <m/>
    <m/>
    <m/>
    <m/>
    <m/>
    <m/>
    <m/>
    <m/>
    <m/>
    <n v="0"/>
    <n v="-7.2864900000000006"/>
    <m/>
    <m/>
    <m/>
    <m/>
    <n v="-0.25227000000000044"/>
    <n v="9.9659999999999999E-2"/>
    <n v="31"/>
    <n v="0.44150454604348832"/>
    <n v="0"/>
    <n v="0"/>
    <n v="0"/>
    <n v="0"/>
    <n v="0"/>
    <n v="0"/>
    <n v="0"/>
    <n v="0.34762804839520189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0.12159140537735227"/>
    <m/>
    <m/>
    <m/>
    <n v="4.6469303412336602"/>
    <n v="0"/>
    <n v="0"/>
    <n v="-0.25227000000000022"/>
    <n v="9.9659999999999971E-2"/>
    <n v="0"/>
    <n v="0"/>
    <n v="-0.7157082153183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8"/>
    <s v="Regular"/>
    <s v="Branca"/>
    <s v="B1"/>
    <s v="Residencial"/>
    <s v="Residencial"/>
    <s v="Não se aplica"/>
    <s v="Não se aplica"/>
    <s v="Fora ponta"/>
    <s v="CATIVO"/>
    <x v="3"/>
    <n v="0"/>
    <n v="0"/>
    <n v="6.3E-2"/>
    <n v="6.3E-2"/>
    <n v="6.3E-2"/>
    <n v="6.3E-2"/>
    <m/>
    <n v="541.55999999999995"/>
    <n v="207.07"/>
    <m/>
    <n v="47.163690000000003"/>
    <n v="47.163690000000003"/>
    <n v="48.298949999999998"/>
    <n v="0"/>
    <n v="4.9618958858731332"/>
    <n v="0"/>
    <n v="0"/>
    <n v="0"/>
    <n v="6.7885846629871409"/>
    <n v="19.517099762558914"/>
    <n v="13.045723124464107"/>
    <n v="0"/>
    <n v="0"/>
    <n v="0"/>
    <n v="0"/>
    <n v="0"/>
    <n v="0.63056256737358152"/>
    <m/>
    <n v="0.17545187445751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443705466102919"/>
    <n v="0"/>
    <n v="0"/>
    <n v="0"/>
    <n v="0"/>
    <n v="0"/>
    <m/>
    <m/>
    <m/>
    <m/>
    <m/>
    <m/>
    <m/>
    <m/>
    <m/>
    <n v="15.090093671074399"/>
    <m/>
    <m/>
    <m/>
    <m/>
    <m/>
    <m/>
    <m/>
    <m/>
    <m/>
    <m/>
    <m/>
    <m/>
    <n v="45.998999999999995"/>
    <n v="-1.1946900000000014"/>
    <m/>
    <m/>
    <m/>
    <m/>
    <n v="-0.95759999999999568"/>
    <n v="2.0928599999999999"/>
    <n v="31"/>
    <n v="3.4314390925915852"/>
    <n v="0"/>
    <n v="0"/>
    <n v="0"/>
    <n v="0"/>
    <n v="0"/>
    <n v="0"/>
    <n v="0"/>
    <n v="1.4600326419775538"/>
    <n v="0"/>
    <n v="0"/>
    <n v="1.9804519472918045"/>
    <n v="0"/>
    <n v="0"/>
    <n v="0"/>
    <n v="0.31035287131211176"/>
    <n v="0"/>
    <n v="-0.27252642868705745"/>
    <m/>
    <n v="0"/>
    <n v="0"/>
    <n v="0"/>
    <n v="0"/>
    <n v="-3.4830394014841115E-2"/>
    <n v="-1.2041545287989092E-2"/>
    <n v="0"/>
    <n v="0.70996209618529882"/>
    <m/>
    <m/>
    <m/>
    <n v="19.517099762558914"/>
    <n v="0"/>
    <n v="0"/>
    <n v="-0.95759999999999934"/>
    <n v="2.0928599999999999"/>
    <n v="0"/>
    <n v="0"/>
    <n v="-3.005973322927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9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0"/>
    <s v="Regular"/>
    <s v="Convencional"/>
    <s v="B3"/>
    <s v="Industrial"/>
    <s v="Não se aplica"/>
    <s v="Não se aplica"/>
    <s v="Não se aplica"/>
    <s v="Não se aplica"/>
    <s v="CATIVO"/>
    <x v="3"/>
    <n v="0"/>
    <n v="0"/>
    <n v="3.4969999999999999"/>
    <n v="3.4969999999999999"/>
    <n v="3.4969999999999999"/>
    <n v="3.4969999999999999"/>
    <m/>
    <n v="897.25"/>
    <n v="207.07"/>
    <m/>
    <n v="3861.8070400000001"/>
    <n v="3861.8070400000001"/>
    <n v="3873.5219900000002"/>
    <n v="0"/>
    <n v="275.42460179203727"/>
    <n v="0"/>
    <n v="0"/>
    <n v="0"/>
    <n v="697.8164351003436"/>
    <n v="2006.2124221116396"/>
    <n v="724.14117089287276"/>
    <n v="0"/>
    <n v="0"/>
    <n v="0"/>
    <n v="0"/>
    <n v="0"/>
    <n v="35.001226954054196"/>
    <m/>
    <n v="9.7389715075862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47879049993954"/>
    <n v="0"/>
    <n v="0"/>
    <n v="0"/>
    <n v="0"/>
    <n v="9"/>
    <m/>
    <m/>
    <m/>
    <m/>
    <m/>
    <m/>
    <m/>
    <m/>
    <m/>
    <n v="837.61996139281234"/>
    <m/>
    <m/>
    <m/>
    <m/>
    <m/>
    <m/>
    <m/>
    <m/>
    <m/>
    <m/>
    <m/>
    <m/>
    <n v="3876.8449999999998"/>
    <n v="15.007959999999002"/>
    <m/>
    <m/>
    <m/>
    <m/>
    <n v="-104.45539000000001"/>
    <n v="116.17034"/>
    <n v="31"/>
    <n v="259.50929142119185"/>
    <n v="0"/>
    <n v="0"/>
    <n v="0"/>
    <n v="0"/>
    <n v="0"/>
    <n v="0"/>
    <n v="0"/>
    <n v="150.08058732917186"/>
    <n v="0"/>
    <n v="0"/>
    <n v="109.9308009472926"/>
    <n v="0"/>
    <n v="0"/>
    <n v="0"/>
    <n v="17.227047475848494"/>
    <n v="0"/>
    <n v="-15.127379700295933"/>
    <m/>
    <n v="0"/>
    <n v="0"/>
    <n v="0"/>
    <n v="0"/>
    <n v="-1.9333632995222061"/>
    <n v="-0.66840133130314072"/>
    <n v="0"/>
    <n v="61.200299357535265"/>
    <m/>
    <m/>
    <m/>
    <n v="2006.2124221116396"/>
    <n v="0"/>
    <n v="0"/>
    <n v="-104.45539000000008"/>
    <n v="116.17034000000001"/>
    <n v="0"/>
    <n v="0"/>
    <n v="-308.991658307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55800000000000005"/>
    <n v="0.55800000000000005"/>
    <n v="0.55800000000000005"/>
    <n v="0.55800000000000005"/>
    <m/>
    <n v="897.25"/>
    <n v="207.07"/>
    <m/>
    <n v="616.2105600000001"/>
    <n v="616.2105600000001"/>
    <n v="618.07986000000005"/>
    <n v="0"/>
    <n v="43.94822070344776"/>
    <n v="0"/>
    <n v="0"/>
    <n v="0"/>
    <n v="111.34731792564821"/>
    <n v="320.12197070011297"/>
    <n v="115.54783338811067"/>
    <n v="0"/>
    <n v="0"/>
    <n v="0"/>
    <n v="0"/>
    <n v="0"/>
    <n v="5.5849827395945795"/>
    <m/>
    <n v="1.5540023166237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07281984262588"/>
    <n v="0"/>
    <n v="0"/>
    <n v="0"/>
    <n v="0"/>
    <n v="1"/>
    <m/>
    <m/>
    <m/>
    <m/>
    <m/>
    <m/>
    <m/>
    <m/>
    <m/>
    <n v="133.65511537237327"/>
    <m/>
    <m/>
    <m/>
    <m/>
    <m/>
    <m/>
    <m/>
    <m/>
    <m/>
    <m/>
    <m/>
    <m/>
    <n v="620.29520000000002"/>
    <n v="4.0546399999999494"/>
    <m/>
    <m/>
    <m/>
    <m/>
    <n v="-16.667460000000005"/>
    <n v="18.536760000000001"/>
    <n v="31"/>
    <n v="41.408688765520424"/>
    <n v="0"/>
    <n v="0"/>
    <n v="0"/>
    <n v="0"/>
    <n v="0"/>
    <n v="0"/>
    <n v="0"/>
    <n v="23.947660202939062"/>
    <n v="0"/>
    <n v="0"/>
    <n v="17.541145818870248"/>
    <n v="0"/>
    <n v="0"/>
    <n v="0"/>
    <n v="2.7488397173358443"/>
    <n v="0"/>
    <n v="-2.4138055112282331"/>
    <m/>
    <n v="0"/>
    <n v="0"/>
    <n v="0"/>
    <n v="0"/>
    <n v="-0.30849777556002067"/>
    <n v="-0.10665368683647469"/>
    <n v="0"/>
    <n v="9.7654466804417162"/>
    <m/>
    <m/>
    <m/>
    <n v="320.12197070011297"/>
    <n v="0"/>
    <n v="0"/>
    <n v="-16.667460000000005"/>
    <n v="18.536760000000015"/>
    <n v="0"/>
    <n v="0"/>
    <n v="-49.30435954698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3"/>
    <n v="0"/>
    <n v="0"/>
    <n v="1.1910000000000001"/>
    <n v="1.1910000000000001"/>
    <n v="1.1910000000000001"/>
    <n v="1.1910000000000001"/>
    <m/>
    <n v="4750.8599999999997"/>
    <n v="207.07"/>
    <m/>
    <n v="5904.8946299999998"/>
    <n v="5904.8946299999998"/>
    <n v="5752.4942700000001"/>
    <n v="0"/>
    <n v="81.609010477224757"/>
    <n v="0"/>
    <n v="0"/>
    <n v="0"/>
    <n v="1533.2189743251413"/>
    <n v="4012.9003503694826"/>
    <n v="246.62628954344052"/>
    <n v="0"/>
    <n v="0"/>
    <n v="0"/>
    <n v="0"/>
    <n v="0"/>
    <n v="11.920635202252946"/>
    <m/>
    <n v="2.1549229324987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69636348518609"/>
    <n v="0"/>
    <n v="0"/>
    <n v="0"/>
    <n v="0"/>
    <n v="0"/>
    <m/>
    <m/>
    <m/>
    <m/>
    <m/>
    <m/>
    <m/>
    <m/>
    <m/>
    <n v="263.09592589195915"/>
    <m/>
    <m/>
    <m/>
    <m/>
    <m/>
    <m/>
    <m/>
    <m/>
    <m/>
    <m/>
    <m/>
    <m/>
    <n v="5747.6643000000004"/>
    <n v="-157.26033000000007"/>
    <m/>
    <m/>
    <m/>
    <m/>
    <n v="-191.96537999999927"/>
    <n v="39.565020000000004"/>
    <n v="31"/>
    <n v="364.40362241165985"/>
    <n v="0"/>
    <n v="0"/>
    <n v="0"/>
    <n v="0"/>
    <n v="0"/>
    <n v="0"/>
    <n v="0"/>
    <n v="329.75205597997228"/>
    <n v="0"/>
    <n v="0"/>
    <n v="37.439972527373641"/>
    <n v="0"/>
    <n v="0"/>
    <n v="0"/>
    <n v="2.500231153645025"/>
    <n v="0"/>
    <n v="-4.4822811049629649"/>
    <m/>
    <n v="0"/>
    <n v="0"/>
    <n v="0"/>
    <n v="0"/>
    <n v="-0.6584603058996148"/>
    <n v="-0.14789583846875365"/>
    <n v="0"/>
    <n v="101.25208291786761"/>
    <m/>
    <m/>
    <m/>
    <n v="4012.9003503694826"/>
    <n v="0"/>
    <n v="0"/>
    <n v="-191.96537999999964"/>
    <n v="39.565019999999976"/>
    <n v="0"/>
    <n v="0"/>
    <n v="-618.056552844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3"/>
    <n v="0"/>
    <n v="0"/>
    <n v="103.90900000000001"/>
    <n v="103.90900000000001"/>
    <n v="103.90900000000001"/>
    <n v="103.90900000000001"/>
    <m/>
    <n v="94.17"/>
    <n v="207.07"/>
    <m/>
    <n v="31301.547160000002"/>
    <n v="31301.547160000002"/>
    <n v="34681.70693"/>
    <n v="0"/>
    <n v="7119.9921659764459"/>
    <n v="0"/>
    <n v="0"/>
    <n v="0"/>
    <n v="0"/>
    <n v="0"/>
    <n v="21516.953081586365"/>
    <n v="0"/>
    <n v="0"/>
    <n v="0"/>
    <n v="0"/>
    <n v="0"/>
    <n v="1040.0178700511347"/>
    <m/>
    <n v="188.00662216038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6.8962580505627"/>
    <n v="0"/>
    <n v="0"/>
    <n v="0"/>
    <n v="0"/>
    <n v="0"/>
    <m/>
    <m/>
    <m/>
    <m/>
    <m/>
    <m/>
    <m/>
    <m/>
    <m/>
    <n v="22953.849339636927"/>
    <m/>
    <m/>
    <m/>
    <m/>
    <m/>
    <m/>
    <m/>
    <m/>
    <m/>
    <m/>
    <m/>
    <m/>
    <n v="34682.040699999998"/>
    <n v="3380.4635400000006"/>
    <m/>
    <m/>
    <m/>
    <m/>
    <n v="-71.697209999999771"/>
    <n v="3451.85698"/>
    <n v="31"/>
    <n v="3023.1818777079752"/>
    <n v="0"/>
    <n v="0"/>
    <n v="0"/>
    <n v="0"/>
    <n v="0"/>
    <n v="0"/>
    <n v="0"/>
    <n v="0"/>
    <n v="0"/>
    <n v="0"/>
    <n v="3266.4568474784755"/>
    <n v="0"/>
    <n v="0"/>
    <n v="0"/>
    <n v="218.13309735021062"/>
    <n v="0"/>
    <n v="-391.05738651183674"/>
    <m/>
    <n v="0"/>
    <n v="0"/>
    <n v="0"/>
    <n v="0"/>
    <n v="-57.44748272520826"/>
    <n v="-12.90319788366898"/>
    <n v="0"/>
    <n v="356.53504666603777"/>
    <m/>
    <m/>
    <m/>
    <n v="0"/>
    <n v="0"/>
    <n v="0"/>
    <n v="-71.697209999998449"/>
    <n v="3451.85698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3"/>
    <n v="954"/>
    <n v="954"/>
    <n v="0"/>
    <n v="0"/>
    <n v="0"/>
    <n v="0"/>
    <n v="73.75"/>
    <m/>
    <m/>
    <n v="70357.5"/>
    <m/>
    <n v="70357.5"/>
    <n v="70987.14"/>
    <n v="0"/>
    <n v="0"/>
    <n v="0"/>
    <n v="0"/>
    <n v="0"/>
    <n v="27721.575759776253"/>
    <n v="42635.8087930637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987.14"/>
    <n v="629.61000000001513"/>
    <m/>
    <m/>
    <m/>
    <m/>
    <n v="629.63999999999669"/>
    <n v="0"/>
    <n v="31"/>
    <n v="5962.1272335310387"/>
    <n v="0"/>
    <n v="0"/>
    <n v="0"/>
    <n v="0"/>
    <m/>
    <m/>
    <m/>
    <n v="5962.1272335310387"/>
    <n v="0"/>
    <n v="0"/>
    <m/>
    <m/>
    <n v="0"/>
    <n v="0"/>
    <n v="0"/>
    <n v="0"/>
    <n v="0"/>
    <m/>
    <n v="0"/>
    <n v="0"/>
    <m/>
    <n v="0"/>
    <n v="0"/>
    <n v="0"/>
    <n v="0"/>
    <n v="1232.6294680268475"/>
    <m/>
    <m/>
    <n v="42635.808793063792"/>
    <m/>
    <n v="0"/>
    <n v="0"/>
    <n v="629.63999999999942"/>
    <m/>
    <n v="0"/>
    <m/>
    <n v="-6566.6572079142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3"/>
    <n v="0"/>
    <n v="0"/>
    <n v="94.671000000000006"/>
    <n v="94.671000000000006"/>
    <n v="94.671000000000006"/>
    <n v="94.671000000000006"/>
    <m/>
    <n v="897.25"/>
    <n v="207.07"/>
    <m/>
    <n v="104547.07872000002"/>
    <n v="104547.07872000002"/>
    <n v="104864.22657000001"/>
    <n v="0"/>
    <n v="7456.3118319284995"/>
    <n v="0"/>
    <n v="0"/>
    <n v="0"/>
    <n v="18891.32963322409"/>
    <n v="54312.306609588522"/>
    <n v="19603.994506605424"/>
    <n v="0"/>
    <n v="0"/>
    <n v="0"/>
    <n v="0"/>
    <n v="0"/>
    <n v="947.55537802895776"/>
    <m/>
    <n v="263.65403820265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2.1048256848089"/>
    <n v="0"/>
    <n v="159.41"/>
    <n v="736.93"/>
    <n v="0"/>
    <n v="233"/>
    <m/>
    <m/>
    <m/>
    <m/>
    <m/>
    <m/>
    <m/>
    <m/>
    <m/>
    <n v="22676.099332290232"/>
    <m/>
    <m/>
    <m/>
    <m/>
    <m/>
    <m/>
    <m/>
    <m/>
    <m/>
    <m/>
    <m/>
    <m/>
    <n v="104863.1189"/>
    <n v="316.01017999999749"/>
    <m/>
    <m/>
    <m/>
    <m/>
    <n v="-2827.8227700000007"/>
    <n v="3144.9706200000001"/>
    <n v="31"/>
    <n v="7025.4515665243453"/>
    <n v="0"/>
    <n v="0"/>
    <n v="0"/>
    <n v="0"/>
    <n v="0"/>
    <n v="0"/>
    <n v="0"/>
    <n v="4062.9909302373526"/>
    <n v="0"/>
    <n v="0"/>
    <n v="2976.0534333660653"/>
    <n v="0"/>
    <n v="0"/>
    <n v="0"/>
    <n v="466.37169333315751"/>
    <n v="0"/>
    <n v="-409.52935762273773"/>
    <m/>
    <n v="0"/>
    <n v="0"/>
    <n v="0"/>
    <n v="0"/>
    <n v="-52.340130663159016"/>
    <n v="-18.095002126336738"/>
    <n v="0"/>
    <n v="1656.8182843801035"/>
    <m/>
    <m/>
    <m/>
    <n v="54312.306609588522"/>
    <n v="0"/>
    <n v="0"/>
    <n v="-2827.8227699999989"/>
    <n v="3144.9706200000001"/>
    <n v="0"/>
    <n v="0"/>
    <n v="-8365.041259269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6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.5299999999999994"/>
    <n v="-39.2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69599999999999995"/>
    <n v="0.69599999999999995"/>
    <n v="0.69599999999999995"/>
    <n v="0.69599999999999995"/>
    <m/>
    <n v="897.25"/>
    <n v="207.07"/>
    <m/>
    <n v="768.60672"/>
    <n v="768.60672"/>
    <n v="770.93831999999998"/>
    <n v="0"/>
    <n v="54.817135501074617"/>
    <n v="0"/>
    <n v="0"/>
    <n v="0"/>
    <n v="138.88482665994829"/>
    <n v="399.29192044315158"/>
    <n v="144.12417927979394"/>
    <n v="0"/>
    <n v="0"/>
    <n v="0"/>
    <n v="0"/>
    <n v="0"/>
    <n v="6.9662150300319476"/>
    <m/>
    <n v="1.938325470197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85426991123224"/>
    <n v="0"/>
    <n v="14.46"/>
    <n v="66.84"/>
    <n v="0"/>
    <n v="6"/>
    <m/>
    <m/>
    <m/>
    <m/>
    <m/>
    <m/>
    <m/>
    <m/>
    <m/>
    <n v="166.70960627091716"/>
    <m/>
    <m/>
    <m/>
    <m/>
    <m/>
    <m/>
    <m/>
    <m/>
    <m/>
    <m/>
    <m/>
    <m/>
    <n v="775.36899999999991"/>
    <n v="6.7322799999999461"/>
    <m/>
    <m/>
    <m/>
    <m/>
    <n v="-20.789520000000003"/>
    <n v="23.121119999999998"/>
    <n v="31"/>
    <n v="51.649547277423324"/>
    <n v="0"/>
    <n v="0"/>
    <n v="0"/>
    <n v="0"/>
    <n v="0"/>
    <n v="0"/>
    <n v="0"/>
    <n v="29.870199823020755"/>
    <n v="0"/>
    <n v="0"/>
    <n v="21.879278655795162"/>
    <n v="0"/>
    <n v="0"/>
    <n v="0"/>
    <n v="3.4286602925909477"/>
    <n v="0"/>
    <n v="-3.0107681645427391"/>
    <m/>
    <n v="0"/>
    <n v="0"/>
    <n v="0"/>
    <n v="0"/>
    <n v="-0.3847929243544348"/>
    <n v="-0.13303040508635555"/>
    <n v="0"/>
    <n v="12.180557149798268"/>
    <m/>
    <m/>
    <m/>
    <n v="399.29192044315158"/>
    <n v="0"/>
    <n v="0"/>
    <n v="-20.789520000000039"/>
    <n v="23.121120000000019"/>
    <n v="0"/>
    <n v="0"/>
    <n v="-61.49791083279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8"/>
    <s v="Regular"/>
    <s v="Azul"/>
    <s v="A4"/>
    <s v="Comercial"/>
    <s v="Não se aplica"/>
    <s v="Não se aplica"/>
    <s v="Não se aplica"/>
    <s v="Ponta"/>
    <s v="CATIVO"/>
    <x v="3"/>
    <n v="100"/>
    <n v="100"/>
    <n v="3.032"/>
    <n v="3.032"/>
    <n v="3.032"/>
    <n v="3.032"/>
    <n v="193.63"/>
    <n v="94.17"/>
    <n v="207.07"/>
    <n v="19363"/>
    <n v="913.35968000000003"/>
    <n v="20276.359680000001"/>
    <n v="19706.99064"/>
    <n v="0"/>
    <n v="207.75694354907259"/>
    <n v="0"/>
    <n v="0"/>
    <n v="0"/>
    <n v="5352.7545792855199"/>
    <n v="14009.762805225198"/>
    <n v="627.85130973611388"/>
    <n v="0"/>
    <n v="0"/>
    <n v="0"/>
    <n v="0"/>
    <n v="0"/>
    <n v="30.347074671058717"/>
    <m/>
    <n v="5.485916315143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27739218059124"/>
    <n v="0"/>
    <n v="0"/>
    <n v="0"/>
    <n v="0"/>
    <n v="0"/>
    <m/>
    <m/>
    <m/>
    <m/>
    <m/>
    <m/>
    <m/>
    <m/>
    <m/>
    <n v="669.77904895417305"/>
    <m/>
    <m/>
    <m/>
    <m/>
    <m/>
    <m/>
    <m/>
    <m/>
    <m/>
    <m/>
    <m/>
    <m/>
    <n v="19706.323099999998"/>
    <n v="-570.06657999999879"/>
    <m/>
    <m/>
    <m/>
    <m/>
    <n v="-670.09208000000069"/>
    <n v="100.72304"/>
    <n v="31"/>
    <n v="1239.4407502084086"/>
    <n v="0"/>
    <n v="0"/>
    <n v="0"/>
    <n v="0"/>
    <n v="0"/>
    <n v="0"/>
    <n v="0"/>
    <n v="1151.2261831043998"/>
    <n v="0"/>
    <n v="0"/>
    <n v="95.313179431567391"/>
    <n v="0"/>
    <n v="0"/>
    <n v="0"/>
    <n v="6.3649881258200836"/>
    <n v="0"/>
    <n v="-11.410811343616899"/>
    <m/>
    <n v="0"/>
    <n v="0"/>
    <n v="0"/>
    <n v="0"/>
    <n v="-1.6762818198888603"/>
    <n v="-0.37650728987175608"/>
    <n v="0"/>
    <n v="349.62599398768003"/>
    <m/>
    <m/>
    <n v="14009.762805225198"/>
    <n v="0"/>
    <n v="0"/>
    <n v="0"/>
    <n v="-670.09208000000217"/>
    <n v="100.72303999999997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9"/>
    <s v="Regular"/>
    <s v="Azul"/>
    <s v="A4"/>
    <s v="Comercial"/>
    <s v="Não se aplica"/>
    <s v="Não se aplica"/>
    <s v="Não se aplica"/>
    <s v="Fora ponta"/>
    <s v="CATIVO"/>
    <x v="3"/>
    <n v="100"/>
    <n v="100"/>
    <n v="25.114000000000001"/>
    <n v="25.114000000000001"/>
    <n v="25.114000000000001"/>
    <n v="25.114000000000001"/>
    <n v="73.75"/>
    <n v="94.17"/>
    <n v="207.07"/>
    <n v="7375"/>
    <n v="7565.3413600000003"/>
    <n v="14940.34136"/>
    <n v="15823.299779999999"/>
    <n v="0"/>
    <n v="1720.8469262174833"/>
    <n v="0"/>
    <n v="0"/>
    <n v="0"/>
    <n v="2905.8255513392301"/>
    <n v="4469.1623472813199"/>
    <n v="5200.4808023458991"/>
    <n v="0"/>
    <n v="0"/>
    <n v="0"/>
    <n v="0"/>
    <n v="0"/>
    <n v="251.36425900031946"/>
    <m/>
    <n v="45.439743515343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28668955222196"/>
    <n v="0"/>
    <n v="0"/>
    <n v="0"/>
    <n v="0"/>
    <n v="0"/>
    <m/>
    <m/>
    <m/>
    <m/>
    <m/>
    <m/>
    <m/>
    <m/>
    <m/>
    <n v="5547.7674918981211"/>
    <m/>
    <m/>
    <m/>
    <m/>
    <m/>
    <m/>
    <m/>
    <m/>
    <m/>
    <m/>
    <m/>
    <m/>
    <n v="15821.9647"/>
    <n v="881.59333999999944"/>
    <m/>
    <m/>
    <m/>
    <m/>
    <n v="48.671339999999716"/>
    <n v="834.28707999999995"/>
    <n v="31"/>
    <n v="1355.6405559763662"/>
    <n v="0"/>
    <n v="0"/>
    <n v="0"/>
    <n v="0"/>
    <n v="0"/>
    <n v="0"/>
    <n v="0"/>
    <n v="624.9609259466497"/>
    <n v="0"/>
    <n v="0"/>
    <n v="789.4773048299412"/>
    <n v="0"/>
    <n v="0"/>
    <n v="0"/>
    <n v="52.721079087020257"/>
    <n v="0"/>
    <n v="-94.515539605407412"/>
    <m/>
    <n v="0"/>
    <n v="0"/>
    <n v="0"/>
    <n v="0"/>
    <n v="-13.884611353789182"/>
    <n v="-3.1186029280472596"/>
    <n v="0"/>
    <n v="215.37820080395272"/>
    <m/>
    <m/>
    <n v="4469.1623472813199"/>
    <n v="0"/>
    <n v="0"/>
    <n v="0"/>
    <n v="48.671339999998963"/>
    <n v="834.28708000000006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0"/>
    <s v="Regular"/>
    <s v="Azul"/>
    <s v="A4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7.70999999999998"/>
    <n v="1189.4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1"/>
    <s v="Regular"/>
    <s v="Verde"/>
    <s v="A4"/>
    <s v="Comercial"/>
    <s v="Não se aplica"/>
    <s v="Não se aplica"/>
    <s v="Não se aplica"/>
    <s v="Ponta"/>
    <s v="CATIVO"/>
    <x v="3"/>
    <n v="0"/>
    <n v="0"/>
    <n v="0.92800000000000005"/>
    <n v="0.92800000000000005"/>
    <n v="0.92800000000000005"/>
    <n v="0.92800000000000005"/>
    <m/>
    <n v="4750.8599999999997"/>
    <n v="207.07"/>
    <m/>
    <n v="4600.9590399999997"/>
    <n v="4600.9590399999997"/>
    <n v="4482.2121600000009"/>
    <n v="0"/>
    <n v="63.587877181246498"/>
    <n v="0"/>
    <n v="0"/>
    <n v="0"/>
    <n v="1194.6492092138801"/>
    <n v="3126.7603065851213"/>
    <n v="192.16557237305861"/>
    <n v="0"/>
    <n v="0"/>
    <n v="0"/>
    <n v="0"/>
    <n v="0"/>
    <n v="9.2882867067092647"/>
    <m/>
    <n v="1.6790667349780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3276451001282"/>
    <n v="0"/>
    <n v="0"/>
    <n v="0"/>
    <n v="0"/>
    <n v="0"/>
    <m/>
    <m/>
    <m/>
    <m/>
    <m/>
    <m/>
    <m/>
    <m/>
    <m/>
    <n v="204.99833688307143"/>
    <m/>
    <m/>
    <m/>
    <m/>
    <m/>
    <m/>
    <m/>
    <m/>
    <m/>
    <m/>
    <m/>
    <m/>
    <n v="4491.8721000000005"/>
    <n v="-109.11693999999989"/>
    <m/>
    <m/>
    <m/>
    <m/>
    <n v="-149.57503999999943"/>
    <n v="30.82816"/>
    <n v="31"/>
    <n v="283.93498035098219"/>
    <n v="0"/>
    <n v="0"/>
    <n v="0"/>
    <n v="0"/>
    <n v="0"/>
    <n v="0"/>
    <n v="0"/>
    <n v="256.93527115819825"/>
    <n v="0"/>
    <n v="0"/>
    <n v="29.172371541060215"/>
    <n v="0"/>
    <n v="0"/>
    <n v="0"/>
    <n v="1.9481230147628725"/>
    <n v="0"/>
    <n v="-3.4924910708695549"/>
    <m/>
    <n v="0"/>
    <n v="0"/>
    <n v="0"/>
    <n v="0"/>
    <n v="-0.51305723247257973"/>
    <n v="-0.11523705969689635"/>
    <n v="0"/>
    <n v="78.893310619463605"/>
    <m/>
    <m/>
    <m/>
    <n v="3126.7603065851213"/>
    <n v="0"/>
    <n v="0"/>
    <n v="-149.57503999999881"/>
    <n v="30.828159999999997"/>
    <n v="0"/>
    <n v="0"/>
    <n v="-481.5755508312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2"/>
    <s v="Regular"/>
    <s v="Verde"/>
    <s v="A4"/>
    <s v="Comercial"/>
    <s v="Não se aplica"/>
    <s v="Não se aplica"/>
    <s v="Não se aplica"/>
    <s v="Fora ponta"/>
    <s v="CATIVO"/>
    <x v="3"/>
    <n v="0"/>
    <n v="0"/>
    <n v="69.599000000000004"/>
    <n v="69.599000000000004"/>
    <n v="69.599000000000004"/>
    <n v="69.599000000000004"/>
    <m/>
    <n v="94.17"/>
    <n v="207.07"/>
    <m/>
    <n v="20966.002759999999"/>
    <n v="20966.002759999999"/>
    <n v="23230.058230000002"/>
    <n v="0"/>
    <n v="4769.0222671741112"/>
    <n v="0"/>
    <n v="0"/>
    <n v="0"/>
    <n v="0"/>
    <n v="0"/>
    <n v="14412.210853009166"/>
    <n v="0"/>
    <n v="0"/>
    <n v="0"/>
    <n v="0"/>
    <n v="0"/>
    <n v="696.61149407355401"/>
    <m/>
    <n v="125.92819578419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44350984092921"/>
    <n v="0"/>
    <n v="0"/>
    <n v="0"/>
    <n v="0"/>
    <n v="0"/>
    <m/>
    <m/>
    <m/>
    <m/>
    <m/>
    <m/>
    <m/>
    <m/>
    <m/>
    <n v="15374.654362850095"/>
    <m/>
    <m/>
    <m/>
    <m/>
    <m/>
    <m/>
    <m/>
    <m/>
    <m/>
    <m/>
    <m/>
    <m/>
    <n v="23230.391999999996"/>
    <n v="2264.359239999998"/>
    <m/>
    <m/>
    <m/>
    <m/>
    <n v="-48.023309999999846"/>
    <n v="2312.0787799999998"/>
    <n v="31"/>
    <n v="2024.9490949445862"/>
    <n v="0"/>
    <n v="0"/>
    <n v="0"/>
    <n v="0"/>
    <n v="0"/>
    <n v="0"/>
    <n v="0"/>
    <n v="0"/>
    <n v="0"/>
    <n v="0"/>
    <n v="2187.8964298343217"/>
    <n v="0"/>
    <n v="0"/>
    <n v="0"/>
    <n v="146.10712683672546"/>
    <n v="0"/>
    <n v="-261.93306685501102"/>
    <m/>
    <n v="0"/>
    <n v="0"/>
    <n v="0"/>
    <n v="0"/>
    <n v="-38.478739572046379"/>
    <n v="-8.6426552994011701"/>
    <n v="0"/>
    <n v="238.80975385105779"/>
    <m/>
    <m/>
    <m/>
    <n v="0"/>
    <n v="0"/>
    <n v="0"/>
    <n v="-48.023309999999583"/>
    <n v="2312.078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3"/>
    <s v="Regular"/>
    <s v="Verde"/>
    <s v="A4"/>
    <s v="Comercial"/>
    <s v="Não se aplica"/>
    <s v="Não se aplica"/>
    <s v="Não se aplica"/>
    <s v="Não se aplica"/>
    <s v="CATIVO"/>
    <x v="3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1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4"/>
    <s v="Regular"/>
    <s v="Branca"/>
    <s v="B3"/>
    <s v="Comercial"/>
    <s v="Não se aplica"/>
    <s v="Não se aplica"/>
    <s v="Não se aplica"/>
    <s v="Ponta"/>
    <s v="CATIVO"/>
    <x v="3"/>
    <n v="0"/>
    <n v="0"/>
    <n v="0.02"/>
    <n v="0.02"/>
    <n v="0.02"/>
    <n v="0.02"/>
    <m/>
    <n v="2482.39"/>
    <n v="207.07"/>
    <m/>
    <n v="53.789199999999994"/>
    <n v="53.789199999999994"/>
    <n v="52.548599999999993"/>
    <n v="0"/>
    <n v="1.5752050431343281"/>
    <n v="0"/>
    <n v="0"/>
    <n v="0"/>
    <n v="12.172391613806539"/>
    <n v="34.995398667108404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52.548599999999993"/>
    <n v="-1.2705999999999946"/>
    <m/>
    <m/>
    <m/>
    <m/>
    <n v="-1.905"/>
    <n v="0.66439999999999999"/>
    <n v="31"/>
    <n v="3.24378062997733"/>
    <n v="0"/>
    <n v="0"/>
    <n v="0"/>
    <n v="0"/>
    <n v="0"/>
    <n v="0"/>
    <n v="0"/>
    <n v="2.6179373123220824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90543716203073443"/>
    <m/>
    <m/>
    <m/>
    <n v="34.995398667108404"/>
    <n v="0"/>
    <n v="0"/>
    <n v="-1.9050000000000011"/>
    <n v="0.66439999999999966"/>
    <n v="0"/>
    <n v="0"/>
    <n v="-5.389900963684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5"/>
    <s v="Regular"/>
    <s v="Branca"/>
    <s v="B3"/>
    <s v="Comercial"/>
    <s v="Não se aplica"/>
    <s v="Não se aplica"/>
    <s v="Não se aplica"/>
    <s v="Fora ponta"/>
    <s v="CATIVO"/>
    <x v="3"/>
    <n v="0"/>
    <n v="0"/>
    <n v="0.16"/>
    <n v="0.16"/>
    <n v="0.16"/>
    <n v="0.16"/>
    <m/>
    <n v="595.67999999999995"/>
    <n v="207.07"/>
    <m/>
    <n v="128.44"/>
    <n v="128.44"/>
    <n v="130.96639999999999"/>
    <n v="0"/>
    <n v="12.601640345074625"/>
    <n v="0"/>
    <n v="0"/>
    <n v="0"/>
    <n v="19.475640155377921"/>
    <n v="55.992654101495198"/>
    <n v="33.131995236734241"/>
    <n v="0"/>
    <n v="0"/>
    <n v="0"/>
    <n v="0"/>
    <n v="0"/>
    <n v="1.60142874253608"/>
    <m/>
    <n v="0.44559206211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920521818674086"/>
    <n v="0"/>
    <n v="0"/>
    <n v="0"/>
    <n v="0"/>
    <n v="0"/>
    <m/>
    <m/>
    <m/>
    <m/>
    <m/>
    <m/>
    <m/>
    <m/>
    <m/>
    <n v="38.324047418601651"/>
    <m/>
    <m/>
    <m/>
    <m/>
    <m/>
    <m/>
    <m/>
    <m/>
    <m/>
    <m/>
    <m/>
    <m/>
    <n v="130.96639999999999"/>
    <n v="2.4963999999999942"/>
    <m/>
    <m/>
    <m/>
    <m/>
    <n v="-2.7887999999999922"/>
    <n v="5.3151999999999999"/>
    <n v="31"/>
    <n v="9.1954061458418153"/>
    <n v="0"/>
    <n v="0"/>
    <n v="0"/>
    <n v="0"/>
    <n v="0"/>
    <n v="0"/>
    <n v="0"/>
    <n v="4.1886596045998417"/>
    <n v="0"/>
    <n v="0"/>
    <n v="5.0297192312172783"/>
    <n v="0"/>
    <n v="0"/>
    <n v="0"/>
    <n v="0.7881977684117123"/>
    <n v="0"/>
    <n v="-0.6921306125385609"/>
    <m/>
    <n v="0"/>
    <n v="0"/>
    <n v="0"/>
    <n v="0"/>
    <n v="-8.8458143529755118E-2"/>
    <n v="-3.0581702318702386E-2"/>
    <n v="0"/>
    <n v="1.9548012354431714"/>
    <m/>
    <m/>
    <m/>
    <n v="55.992654101495198"/>
    <n v="0"/>
    <n v="0"/>
    <n v="-2.7887999999999948"/>
    <n v="5.3151999999999973"/>
    <n v="0"/>
    <n v="0"/>
    <n v="-8.6238440422326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6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Intermediário"/>
    <s v="CATIVO"/>
    <x v="3"/>
    <n v="0"/>
    <n v="0"/>
    <n v="1.4999999999999999E-2"/>
    <n v="1.4999999999999999E-2"/>
    <n v="1.4999999999999999E-2"/>
    <n v="1.4999999999999999E-2"/>
    <m/>
    <n v="1539.04"/>
    <n v="207.07"/>
    <m/>
    <n v="26.191649999999999"/>
    <n v="26.191649999999999"/>
    <n v="25.844850000000001"/>
    <n v="0"/>
    <n v="1.1814037823507459"/>
    <n v="0"/>
    <n v="0"/>
    <n v="0"/>
    <n v="5.4775691679900449"/>
    <n v="15.74792787824985"/>
    <n v="3.1061245534438351"/>
    <n v="0"/>
    <n v="0"/>
    <n v="0"/>
    <n v="0"/>
    <n v="0"/>
    <n v="0.1501339446127575"/>
    <m/>
    <n v="4.177425582321824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67548920500695"/>
    <n v="0"/>
    <n v="0"/>
    <n v="0"/>
    <n v="0"/>
    <n v="0"/>
    <m/>
    <m/>
    <m/>
    <m/>
    <m/>
    <m/>
    <m/>
    <m/>
    <m/>
    <n v="3.5928794454939048"/>
    <m/>
    <m/>
    <m/>
    <m/>
    <m/>
    <m/>
    <m/>
    <m/>
    <m/>
    <m/>
    <m/>
    <m/>
    <n v="34.459800000000001"/>
    <n v="8.2381499999999974"/>
    <m/>
    <m/>
    <m/>
    <m/>
    <n v="-0.84509999999999874"/>
    <n v="0.49829999999999997"/>
    <n v="31"/>
    <n v="1.6474527607621674"/>
    <n v="0"/>
    <n v="0"/>
    <n v="0"/>
    <n v="0"/>
    <n v="0"/>
    <n v="0"/>
    <n v="0"/>
    <n v="1.1780702725207348"/>
    <n v="0"/>
    <n v="0"/>
    <n v="0.47153617792661962"/>
    <n v="0"/>
    <n v="0"/>
    <n v="0"/>
    <n v="7.3893540788598E-2"/>
    <n v="0"/>
    <n v="-6.4887244925490029E-2"/>
    <m/>
    <n v="0"/>
    <n v="0"/>
    <n v="0"/>
    <n v="0"/>
    <n v="-8.2929509559145353E-3"/>
    <n v="-2.8670345923783522E-3"/>
    <n v="0"/>
    <n v="0.43117023311925329"/>
    <m/>
    <m/>
    <m/>
    <n v="15.74792787824985"/>
    <n v="0"/>
    <n v="0"/>
    <n v="-0.84509999999999863"/>
    <n v="0.49829999999999997"/>
    <n v="0"/>
    <n v="0"/>
    <n v="-2.42545519925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8"/>
    <s v="Regular"/>
    <s v="Convencional"/>
    <s v="B2"/>
    <s v="Rural"/>
    <s v="Não se aplica"/>
    <s v="Não se aplica"/>
    <s v="Não se aplica"/>
    <s v="Não se aplica"/>
    <s v="CATIVO"/>
    <x v="3"/>
    <n v="0"/>
    <n v="0"/>
    <n v="63.924999999999997"/>
    <n v="63.924999999999997"/>
    <n v="63.924999999999997"/>
    <n v="63.924999999999997"/>
    <m/>
    <n v="897.25"/>
    <n v="207.07"/>
    <m/>
    <n v="70593.655999999988"/>
    <n v="70593.655999999988"/>
    <n v="70807.804749999996"/>
    <n v="0"/>
    <n v="5034.7491191180961"/>
    <n v="0"/>
    <n v="0"/>
    <n v="0"/>
    <n v="12756.052506087923"/>
    <n v="36673.471284954692"/>
    <n v="13237.267471926478"/>
    <n v="0"/>
    <n v="0"/>
    <n v="0"/>
    <n v="0"/>
    <n v="0"/>
    <n v="639.82082729136823"/>
    <m/>
    <n v="178.02795356661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4.3870982867129"/>
    <n v="0"/>
    <n v="95.6"/>
    <n v="441.41"/>
    <n v="0"/>
    <n v="162"/>
    <m/>
    <m/>
    <m/>
    <m/>
    <m/>
    <n v="8496.9110000000001"/>
    <m/>
    <m/>
    <m/>
    <n v="15311.654570213192"/>
    <m/>
    <m/>
    <m/>
    <m/>
    <m/>
    <m/>
    <m/>
    <m/>
    <m/>
    <m/>
    <m/>
    <m/>
    <n v="62315.767500000002"/>
    <n v="192.78325000000041"/>
    <m/>
    <m/>
    <m/>
    <m/>
    <n v="-1909.4397500000002"/>
    <n v="2123.5884999999998"/>
    <n v="31"/>
    <n v="4743.8179737202445"/>
    <n v="0"/>
    <n v="0"/>
    <n v="0"/>
    <n v="0"/>
    <n v="0"/>
    <n v="0"/>
    <n v="0"/>
    <n v="2743.4662696646574"/>
    <n v="0"/>
    <n v="0"/>
    <n v="2009.5300115972768"/>
    <n v="0"/>
    <n v="0"/>
    <n v="0"/>
    <n v="314.90963966074196"/>
    <n v="0"/>
    <n v="-276.52780879079728"/>
    <m/>
    <n v="0"/>
    <n v="0"/>
    <n v="0"/>
    <n v="0"/>
    <n v="-35.341792657122483"/>
    <n v="-12.218345754519078"/>
    <n v="0"/>
    <n v="1118.7386721276641"/>
    <m/>
    <m/>
    <m/>
    <n v="36673.471284954692"/>
    <n v="0"/>
    <n v="0"/>
    <n v="-1909.4397499999977"/>
    <n v="2123.5884999999998"/>
    <n v="0"/>
    <n v="0"/>
    <n v="-5648.353376417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9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45"/>
    <n v="-2.029999999999999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58699999999999997"/>
    <n v="0.58699999999999997"/>
    <n v="0.58699999999999997"/>
    <n v="0.58699999999999997"/>
    <m/>
    <n v="897.25"/>
    <n v="207.07"/>
    <m/>
    <n v="648.23583999999994"/>
    <n v="648.23583999999994"/>
    <n v="650.20228999999995"/>
    <n v="0"/>
    <n v="46.232268015992524"/>
    <n v="0"/>
    <n v="0"/>
    <n v="0"/>
    <n v="117.13418570314603"/>
    <n v="336.75913405191091"/>
    <n v="121.55300752476874"/>
    <n v="0"/>
    <n v="0"/>
    <n v="0"/>
    <n v="0"/>
    <n v="0"/>
    <n v="5.8752416991792433"/>
    <m/>
    <n v="1.6347658778819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48341442226054"/>
    <n v="0"/>
    <n v="0"/>
    <n v="0"/>
    <n v="0"/>
    <n v="5"/>
    <m/>
    <m/>
    <m/>
    <m/>
    <m/>
    <n v="78.024040000000014"/>
    <m/>
    <m/>
    <m/>
    <n v="140.60134896699481"/>
    <m/>
    <m/>
    <m/>
    <m/>
    <m/>
    <m/>
    <m/>
    <m/>
    <m/>
    <m/>
    <m/>
    <m/>
    <n v="575.10249999999996"/>
    <n v="4.6200300000000425"/>
    <m/>
    <m/>
    <m/>
    <m/>
    <n v="-17.53369"/>
    <n v="19.500139999999998"/>
    <n v="31"/>
    <n v="43.560753235413131"/>
    <n v="0"/>
    <n v="0"/>
    <n v="0"/>
    <n v="0"/>
    <n v="0"/>
    <n v="0"/>
    <n v="0"/>
    <n v="25.192251862231601"/>
    <n v="0"/>
    <n v="0"/>
    <n v="18.452782429528398"/>
    <n v="0"/>
    <n v="0"/>
    <n v="0"/>
    <n v="2.8917005628604677"/>
    <n v="0"/>
    <n v="-2.5392541847508383"/>
    <m/>
    <n v="0"/>
    <n v="0"/>
    <n v="0"/>
    <n v="0"/>
    <n v="-0.32453081407478912"/>
    <n v="-0.1121966203817395"/>
    <n v="0"/>
    <n v="10.272969895016642"/>
    <m/>
    <m/>
    <m/>
    <n v="336.75913405191091"/>
    <n v="0"/>
    <n v="0"/>
    <n v="-17.533690000000036"/>
    <n v="19.500140000000016"/>
    <n v="0"/>
    <n v="0"/>
    <n v="-51.86677249834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6.027999999999999"/>
    <n v="16.027999999999999"/>
    <n v="16.027999999999999"/>
    <n v="16.027999999999999"/>
    <m/>
    <n v="897.25"/>
    <n v="207.07"/>
    <m/>
    <n v="17700.040959999998"/>
    <n v="17700.040959999998"/>
    <n v="17753.734759999999"/>
    <n v="0"/>
    <n v="1262.3693215678504"/>
    <n v="0"/>
    <n v="0"/>
    <n v="0"/>
    <n v="3198.3419564736364"/>
    <n v="9195.1880759523483"/>
    <n v="3318.9976228398523"/>
    <n v="0"/>
    <n v="0"/>
    <n v="0"/>
    <n v="0"/>
    <n v="0"/>
    <n v="160.4231242835518"/>
    <m/>
    <n v="44.637184822302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.11382731856759"/>
    <n v="0"/>
    <n v="137.25"/>
    <n v="633.97"/>
    <n v="0"/>
    <n v="33"/>
    <m/>
    <m/>
    <m/>
    <m/>
    <m/>
    <m/>
    <m/>
    <m/>
    <m/>
    <n v="3839.1114501584198"/>
    <m/>
    <m/>
    <m/>
    <m/>
    <m/>
    <m/>
    <m/>
    <m/>
    <m/>
    <m/>
    <m/>
    <m/>
    <n v="17755.950100000002"/>
    <n v="55.879140000004554"/>
    <m/>
    <m/>
    <m/>
    <m/>
    <n v="-478.75636000000003"/>
    <n v="532.45015999999998"/>
    <n v="31"/>
    <n v="1189.4237697737681"/>
    <n v="0"/>
    <n v="0"/>
    <n v="0"/>
    <n v="0"/>
    <n v="0"/>
    <n v="0"/>
    <n v="0"/>
    <n v="687.87293500485157"/>
    <n v="0"/>
    <n v="0"/>
    <n v="503.85212398719068"/>
    <n v="0"/>
    <n v="0"/>
    <n v="0"/>
    <n v="78.957711450643274"/>
    <n v="0"/>
    <n v="-69.334184111050263"/>
    <m/>
    <n v="0"/>
    <n v="0"/>
    <n v="0"/>
    <n v="0"/>
    <n v="-8.8612945280932252"/>
    <n v="-3.0635220297760171"/>
    <n v="0"/>
    <n v="280.50283045541187"/>
    <m/>
    <m/>
    <m/>
    <n v="9195.1880759523483"/>
    <n v="0"/>
    <n v="0"/>
    <n v="-478.75636000000122"/>
    <n v="532.45015999999987"/>
    <n v="0"/>
    <n v="0"/>
    <n v="-1416.219130500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2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9.14"/>
    <n v="-42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4.88200000000001"/>
    <n v="294.88200000000001"/>
    <n v="294.88200000000001"/>
    <n v="294.88200000000001"/>
    <m/>
    <n v="493.49"/>
    <n v="113.89"/>
    <m/>
    <n v="179105.42916"/>
    <n v="179105.42916"/>
    <n v="179648.01204"/>
    <n v="0"/>
    <n v="12773.739372062259"/>
    <n v="0"/>
    <n v="0"/>
    <n v="0"/>
    <n v="32363.576868285098"/>
    <n v="93044.827652679101"/>
    <n v="33584.474754182927"/>
    <n v="0"/>
    <n v="0"/>
    <n v="0"/>
    <n v="0"/>
    <n v="0"/>
    <n v="1623.299254694301"/>
    <m/>
    <n v="451.67745720761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2.9593895086446"/>
    <n v="0"/>
    <n v="1400.76"/>
    <n v="6465.12"/>
    <n v="0"/>
    <n v="3"/>
    <m/>
    <m/>
    <m/>
    <m/>
    <m/>
    <m/>
    <m/>
    <m/>
    <m/>
    <n v="38847.434143691571"/>
    <m/>
    <m/>
    <m/>
    <m/>
    <m/>
    <m/>
    <m/>
    <m/>
    <m/>
    <m/>
    <m/>
    <m/>
    <n v="179646.7936"/>
    <n v="541.33443999997689"/>
    <m/>
    <m/>
    <m/>
    <m/>
    <n v="-4844.9112600000017"/>
    <n v="5387.4941399999989"/>
    <n v="31"/>
    <n v="12035.613491585478"/>
    <n v="0"/>
    <n v="0"/>
    <n v="0"/>
    <n v="0"/>
    <n v="0"/>
    <n v="0"/>
    <n v="0"/>
    <n v="6960.490438673165"/>
    <n v="0"/>
    <n v="0"/>
    <n v="5098.409478042995"/>
    <n v="0"/>
    <n v="0"/>
    <n v="0"/>
    <n v="798.96208681020107"/>
    <n v="0"/>
    <n v="-701.58295379767151"/>
    <m/>
    <n v="0"/>
    <n v="0"/>
    <n v="0"/>
    <n v="0"/>
    <n v="-89.666205338671944"/>
    <n v="-30.999352804556281"/>
    <n v="0"/>
    <n v="2838.3690795915959"/>
    <m/>
    <m/>
    <m/>
    <n v="93044.827652679101"/>
    <n v="0"/>
    <n v="0"/>
    <n v="-4844.9112599999935"/>
    <n v="5387.4941400000025"/>
    <n v="0"/>
    <n v="0"/>
    <n v="-14330.52416409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9.3780000000000001"/>
    <n v="8.8153199999999998"/>
    <n v="9.3780000000000001"/>
    <n v="8.8153199999999998"/>
    <m/>
    <n v="897.25"/>
    <n v="207.07"/>
    <m/>
    <n v="10356.312959999999"/>
    <n v="10356.312959999999"/>
    <n v="10387.72926"/>
    <n v="0"/>
    <n v="738.61364472568641"/>
    <n v="0"/>
    <n v="0"/>
    <n v="0"/>
    <n v="1871.3533109439584"/>
    <n v="5380.1144107986729"/>
    <n v="1941.9490708130859"/>
    <n v="0"/>
    <n v="0"/>
    <n v="0"/>
    <n v="0"/>
    <n v="0"/>
    <n v="93.863742171895993"/>
    <m/>
    <n v="26.117264740676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31915850970347"/>
    <n v="0"/>
    <n v="11.99"/>
    <n v="55.35"/>
    <n v="0"/>
    <n v="3"/>
    <m/>
    <m/>
    <m/>
    <m/>
    <n v="623.26375560000031"/>
    <m/>
    <m/>
    <m/>
    <m/>
    <n v="2246.2682293227895"/>
    <m/>
    <m/>
    <m/>
    <m/>
    <m/>
    <m/>
    <m/>
    <m/>
    <m/>
    <m/>
    <m/>
    <m/>
    <n v="9769.6494000000002"/>
    <n v="34.685217599999305"/>
    <m/>
    <m/>
    <m/>
    <m/>
    <n v="-280.12086000000005"/>
    <n v="311.53715999999997"/>
    <n v="31"/>
    <n v="695.93312409148893"/>
    <n v="0"/>
    <n v="0"/>
    <n v="0"/>
    <n v="0"/>
    <n v="0"/>
    <n v="0"/>
    <n v="0"/>
    <n v="402.47519244294358"/>
    <n v="0"/>
    <n v="0"/>
    <n v="294.80441843972244"/>
    <n v="0"/>
    <n v="0"/>
    <n v="0"/>
    <n v="46.198241701031463"/>
    <n v="0"/>
    <n v="-40.567505527416301"/>
    <m/>
    <n v="0"/>
    <n v="0"/>
    <n v="0"/>
    <n v="0"/>
    <n v="-5.1847529376377679"/>
    <n v="-1.7924700271549483"/>
    <n v="0"/>
    <n v="164.12250711323014"/>
    <m/>
    <m/>
    <m/>
    <n v="5380.1144107986729"/>
    <n v="0"/>
    <n v="0"/>
    <n v="-280.12085999999999"/>
    <n v="311.53716000000009"/>
    <n v="0"/>
    <n v="0"/>
    <n v="-828.6313330315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5"/>
    <s v="Refaturamento - 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88"/>
    <n v="-8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080000000000001"/>
    <n v="1.6995199999999999"/>
    <n v="1.8080000000000001"/>
    <n v="1.6995199999999999"/>
    <m/>
    <n v="4750.8599999999997"/>
    <n v="207.07"/>
    <m/>
    <n v="8963.9374399999997"/>
    <n v="8963.9374399999997"/>
    <n v="8732.5857600000018"/>
    <n v="0"/>
    <n v="123.88672623242852"/>
    <n v="0"/>
    <n v="0"/>
    <n v="0"/>
    <n v="2327.5062179511801"/>
    <n v="6091.7916317951504"/>
    <n v="374.39154617509695"/>
    <n v="0"/>
    <n v="0"/>
    <n v="0"/>
    <n v="0"/>
    <n v="0"/>
    <n v="18.096144790657704"/>
    <m/>
    <n v="3.2712851905606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01765338473252"/>
    <n v="0"/>
    <n v="0"/>
    <n v="0"/>
    <n v="0"/>
    <n v="0"/>
    <m/>
    <m/>
    <m/>
    <m/>
    <n v="523.95514560000072"/>
    <m/>
    <m/>
    <m/>
    <m/>
    <n v="399.39331151357021"/>
    <m/>
    <m/>
    <m/>
    <m/>
    <m/>
    <m/>
    <m/>
    <m/>
    <m/>
    <m/>
    <m/>
    <m/>
    <n v="8210.9490000000005"/>
    <n v="-215.18219359999966"/>
    <m/>
    <m/>
    <m/>
    <m/>
    <n v="-291.4134399999989"/>
    <n v="60.06176"/>
    <n v="31"/>
    <n v="553.18366861484537"/>
    <n v="0"/>
    <n v="0"/>
    <n v="0"/>
    <n v="0"/>
    <n v="0"/>
    <n v="0"/>
    <n v="0"/>
    <n v="500.58078691166247"/>
    <n v="0"/>
    <n v="0"/>
    <n v="56.835827312755214"/>
    <n v="0"/>
    <n v="0"/>
    <n v="0"/>
    <n v="3.7954810460035304"/>
    <n v="0"/>
    <n v="-6.8043360518665423"/>
    <m/>
    <n v="0"/>
    <n v="0"/>
    <n v="0"/>
    <n v="0"/>
    <n v="-0.99957702188623188"/>
    <n v="-0.22451358182326331"/>
    <n v="0"/>
    <n v="153.70593275861012"/>
    <m/>
    <m/>
    <m/>
    <n v="6091.7916317951504"/>
    <n v="0"/>
    <n v="0"/>
    <n v="-291.41343999999845"/>
    <n v="60.061759999999992"/>
    <n v="0"/>
    <n v="0"/>
    <n v="-938.242021447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.006"/>
    <n v="16.925640000000001"/>
    <n v="18.006"/>
    <n v="16.925640000000001"/>
    <m/>
    <n v="94.17"/>
    <n v="207.07"/>
    <m/>
    <n v="5424.1274400000002"/>
    <n v="5424.1274400000002"/>
    <n v="6009.8626199999999"/>
    <n v="0"/>
    <n v="1233.7966772904358"/>
    <n v="0"/>
    <n v="0"/>
    <n v="0"/>
    <n v="0"/>
    <n v="0"/>
    <n v="3728.5919139539797"/>
    <n v="0"/>
    <n v="0"/>
    <n v="0"/>
    <n v="0"/>
    <n v="0"/>
    <n v="180.2207871131541"/>
    <m/>
    <n v="32.578960808205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99435104233928"/>
    <n v="0"/>
    <n v="0"/>
    <n v="0"/>
    <n v="0"/>
    <n v="0"/>
    <m/>
    <m/>
    <m/>
    <m/>
    <n v="360.59175719999962"/>
    <m/>
    <m/>
    <m/>
    <m/>
    <n v="3977.5862649963187"/>
    <m/>
    <m/>
    <m/>
    <m/>
    <m/>
    <m/>
    <m/>
    <m/>
    <m/>
    <m/>
    <m/>
    <m/>
    <n v="5650.7260999999999"/>
    <n v="552.01630639999894"/>
    <m/>
    <m/>
    <m/>
    <m/>
    <n v="-12.424139999999959"/>
    <n v="598.15931999999998"/>
    <n v="31"/>
    <n v="523.87582297981589"/>
    <n v="0"/>
    <n v="0"/>
    <n v="0"/>
    <n v="0"/>
    <n v="0"/>
    <n v="0"/>
    <n v="0"/>
    <n v="0"/>
    <n v="0"/>
    <n v="0"/>
    <n v="566.0320279831144"/>
    <n v="0"/>
    <n v="0"/>
    <n v="0"/>
    <n v="37.799464443771882"/>
    <n v="0"/>
    <n v="-67.764864463445292"/>
    <m/>
    <n v="0"/>
    <n v="0"/>
    <n v="0"/>
    <n v="0"/>
    <n v="-9.9548583274797977"/>
    <n v="-2.2359466561447334"/>
    <n v="0"/>
    <n v="61.782617966380926"/>
    <m/>
    <m/>
    <m/>
    <n v="0"/>
    <n v="0"/>
    <n v="0"/>
    <n v="-12.424139999999852"/>
    <n v="598.15931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8"/>
    <s v="Regular"/>
    <s v="Verde"/>
    <s v="A4"/>
    <s v="Serviço público"/>
    <s v="Água, esgoto e saneamento"/>
    <s v="Não se aplica"/>
    <s v="Não se aplica"/>
    <s v="Não se aplica"/>
    <s v="CATIVO"/>
    <x v="3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.54"/>
    <n v="616.3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6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4"/>
    <n v="1.1100000000000001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0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71"/>
    <s v="Regular"/>
    <s v="Convencional"/>
    <s v="B2"/>
    <s v="Rural"/>
    <s v="Agropecuária rural"/>
    <s v="IRRIG./AQUIC."/>
    <s v="Não se aplica"/>
    <s v="Não se aplica"/>
    <s v="CATIVO"/>
    <x v="3"/>
    <n v="0"/>
    <n v="0"/>
    <n v="1.0760000000000001"/>
    <n v="1.0760000000000001"/>
    <n v="1.0760000000000001"/>
    <n v="1.0760000000000001"/>
    <m/>
    <n v="897.25"/>
    <n v="207.07"/>
    <m/>
    <n v="1188.2483200000001"/>
    <n v="1188.2483200000001"/>
    <n v="1191.85292"/>
    <n v="0"/>
    <n v="84.746031320626855"/>
    <n v="0"/>
    <n v="0"/>
    <n v="0"/>
    <n v="214.71274926164421"/>
    <n v="617.29612988050462"/>
    <n v="222.81266796703778"/>
    <n v="0"/>
    <n v="0"/>
    <n v="0"/>
    <n v="0"/>
    <n v="0"/>
    <n v="10.769608293555139"/>
    <m/>
    <n v="2.9966066177188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16550923058324"/>
    <n v="0"/>
    <n v="0"/>
    <n v="0"/>
    <n v="0"/>
    <n v="0"/>
    <m/>
    <m/>
    <m/>
    <m/>
    <m/>
    <n v="143.02192000000002"/>
    <m/>
    <m/>
    <m/>
    <n v="257.72921889009609"/>
    <m/>
    <m/>
    <m/>
    <m/>
    <m/>
    <m/>
    <m/>
    <m/>
    <m/>
    <m/>
    <m/>
    <m/>
    <n v="1052.73"/>
    <n v="7.0324399999999514"/>
    <m/>
    <m/>
    <m/>
    <m/>
    <n v="-32.14012000000001"/>
    <n v="35.744720000000001"/>
    <n v="31"/>
    <n v="79.849012744981906"/>
    <n v="0"/>
    <n v="0"/>
    <n v="0"/>
    <n v="0"/>
    <n v="0"/>
    <n v="0"/>
    <n v="0"/>
    <n v="46.17864225512983"/>
    <n v="0"/>
    <n v="0"/>
    <n v="33.824861829936197"/>
    <n v="0"/>
    <n v="0"/>
    <n v="0"/>
    <n v="5.3006299925687657"/>
    <n v="0"/>
    <n v="-4.6545783693218112"/>
    <m/>
    <n v="0"/>
    <n v="0"/>
    <n v="0"/>
    <n v="0"/>
    <n v="-0.59488101523760406"/>
    <n v="-0.20566194809327376"/>
    <n v="0"/>
    <n v="18.830861340780086"/>
    <m/>
    <m/>
    <m/>
    <n v="617.29612988050462"/>
    <n v="0"/>
    <n v="0"/>
    <n v="-32.140120000000024"/>
    <n v="35.744720000000029"/>
    <n v="0"/>
    <n v="0"/>
    <n v="-95.07435640242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3.0000000000000001E-3"/>
    <n v="1.1999999999999999E-3"/>
    <n v="3.0000000000000001E-3"/>
    <n v="1.1999999999999999E-3"/>
    <m/>
    <n v="897.25"/>
    <n v="207.07"/>
    <m/>
    <n v="3.3129599999999999"/>
    <n v="3.3129599999999999"/>
    <n v="3.32301"/>
    <n v="0"/>
    <n v="0.23628075647014921"/>
    <n v="0"/>
    <n v="0"/>
    <n v="0"/>
    <n v="0.59864149422391499"/>
    <n v="1.7210858639791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n v="2.1533100000000003"/>
    <m/>
    <m/>
    <n v="0.71857588909878101"/>
    <m/>
    <m/>
    <m/>
    <m/>
    <m/>
    <m/>
    <m/>
    <m/>
    <m/>
    <m/>
    <m/>
    <m/>
    <n v="0"/>
    <n v="-1.196172"/>
    <m/>
    <m/>
    <m/>
    <m/>
    <n v="-8.9610000000000009E-2"/>
    <n v="9.9659999999999999E-2"/>
    <n v="31"/>
    <n v="0.22262735895441121"/>
    <n v="0"/>
    <n v="0"/>
    <n v="0"/>
    <n v="0"/>
    <n v="0"/>
    <n v="0"/>
    <n v="0"/>
    <n v="0.12875086130612401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5.2502401507751165E-2"/>
    <m/>
    <m/>
    <m/>
    <n v="1.721085863979102"/>
    <n v="0"/>
    <n v="0"/>
    <n v="-8.9609999999999967E-2"/>
    <n v="9.9659999999999971E-2"/>
    <n v="0"/>
    <n v="0"/>
    <n v="-0.26507720186549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Agropecuária rural"/>
    <s v="Não se aplica"/>
    <s v="Não se aplica"/>
    <s v="Ponta"/>
    <s v="CATIVO"/>
    <x v="3"/>
    <n v="0"/>
    <n v="0"/>
    <n v="0.42399999999999999"/>
    <n v="0.40704000000000001"/>
    <n v="0.42399999999999999"/>
    <n v="0.40704000000000001"/>
    <m/>
    <n v="4750.8599999999997"/>
    <n v="207.07"/>
    <m/>
    <n v="2102.1623199999999"/>
    <n v="2102.1623199999999"/>
    <n v="2047.9072799999999"/>
    <n v="0"/>
    <n v="29.053081815569517"/>
    <n v="0"/>
    <n v="0"/>
    <n v="0"/>
    <n v="545.83110420978994"/>
    <n v="1428.6060021466501"/>
    <n v="87.799787377345737"/>
    <n v="0"/>
    <n v="0"/>
    <n v="0"/>
    <n v="0"/>
    <n v="0"/>
    <n v="4.2437861677206117"/>
    <m/>
    <n v="0.76715980132617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32458537127539"/>
    <n v="0"/>
    <n v="0"/>
    <n v="0"/>
    <n v="0"/>
    <n v="0"/>
    <m/>
    <m/>
    <m/>
    <m/>
    <m/>
    <n v="81.91629119999989"/>
    <m/>
    <m/>
    <m/>
    <n v="93.663033231058492"/>
    <m/>
    <m/>
    <m/>
    <m/>
    <m/>
    <m/>
    <m/>
    <m/>
    <m/>
    <m/>
    <m/>
    <m/>
    <n v="1980.2877000000001"/>
    <n v="-37.818127199999708"/>
    <m/>
    <m/>
    <m/>
    <m/>
    <n v="-68.340319999999736"/>
    <n v="14.085279999999999"/>
    <n v="31"/>
    <n v="129.72891343622473"/>
    <n v="0"/>
    <n v="0"/>
    <n v="0"/>
    <n v="0"/>
    <n v="0"/>
    <n v="0"/>
    <n v="0"/>
    <n v="117.39283940848725"/>
    <n v="0"/>
    <n v="0"/>
    <n v="13.328755962725793"/>
    <n v="0"/>
    <n v="0"/>
    <n v="0"/>
    <n v="0.89009068777958866"/>
    <n v="0"/>
    <n v="-1.5957071272076391"/>
    <m/>
    <n v="0"/>
    <n v="0"/>
    <n v="0"/>
    <n v="0"/>
    <n v="-0.23441408035385081"/>
    <n v="-5.2651415206340535E-2"/>
    <n v="0"/>
    <n v="36.046081576134227"/>
    <m/>
    <m/>
    <m/>
    <n v="1428.6060021466501"/>
    <n v="0"/>
    <n v="0"/>
    <n v="-68.340319999999792"/>
    <n v="14.085279999999997"/>
    <n v="0"/>
    <n v="0"/>
    <n v="-220.0302085694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Agropecuária rural"/>
    <s v="Não se aplica"/>
    <s v="Não se aplica"/>
    <s v="Fora ponta"/>
    <s v="CATIVO"/>
    <x v="3"/>
    <n v="0"/>
    <n v="0"/>
    <n v="26.024999999999999"/>
    <n v="24.984000000000002"/>
    <n v="26.024999999999999"/>
    <n v="24.984000000000002"/>
    <m/>
    <n v="94.17"/>
    <n v="207.07"/>
    <m/>
    <n v="7839.7709999999988"/>
    <n v="7839.7709999999988"/>
    <n v="8686.3642499999987"/>
    <n v="0"/>
    <n v="1783.2699392693319"/>
    <n v="0"/>
    <n v="0"/>
    <n v="0"/>
    <n v="0"/>
    <n v="0"/>
    <n v="5389.126100225054"/>
    <n v="0"/>
    <n v="0"/>
    <n v="0"/>
    <n v="0"/>
    <n v="0"/>
    <n v="260.48239390313427"/>
    <m/>
    <n v="47.088051484702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88437109168495"/>
    <n v="0"/>
    <n v="0"/>
    <n v="0"/>
    <n v="0"/>
    <n v="0"/>
    <m/>
    <m/>
    <m/>
    <m/>
    <m/>
    <n v="347.45456999999891"/>
    <m/>
    <m/>
    <m/>
    <n v="5749.0104713167393"/>
    <m/>
    <m/>
    <m/>
    <m/>
    <m/>
    <m/>
    <m/>
    <m/>
    <m/>
    <m/>
    <m/>
    <m/>
    <n v="8337.5745999999999"/>
    <n v="811.36443999999938"/>
    <m/>
    <m/>
    <m/>
    <m/>
    <n v="-17.957249999999942"/>
    <n v="864.55049999999994"/>
    <n v="31"/>
    <n v="757.1847324808241"/>
    <n v="0"/>
    <n v="0"/>
    <n v="0"/>
    <n v="0"/>
    <n v="0"/>
    <n v="0"/>
    <n v="0"/>
    <n v="0"/>
    <n v="0"/>
    <n v="0"/>
    <n v="818.11526870268517"/>
    <n v="0"/>
    <n v="0"/>
    <n v="0"/>
    <n v="54.633514503452318"/>
    <n v="0"/>
    <n v="-97.944051852780376"/>
    <m/>
    <n v="0"/>
    <n v="0"/>
    <n v="0"/>
    <n v="0"/>
    <n v="-14.388269908511745"/>
    <n v="-3.2317289640212579"/>
    <n v="0"/>
    <n v="89.297602608856124"/>
    <m/>
    <m/>
    <m/>
    <n v="0"/>
    <n v="0"/>
    <n v="0"/>
    <n v="-17.957249999999931"/>
    <n v="864.55050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Agropecuária rural"/>
    <s v="Não se aplica"/>
    <s v="Não se aplica"/>
    <s v="Não se aplica"/>
    <s v="CATIVO"/>
    <x v="3"/>
    <n v="230"/>
    <n v="220.8"/>
    <n v="0"/>
    <n v="0"/>
    <n v="0"/>
    <n v="0"/>
    <n v="73.75"/>
    <m/>
    <m/>
    <n v="16962.5"/>
    <m/>
    <n v="16962.5"/>
    <n v="17114.3"/>
    <n v="0"/>
    <n v="0"/>
    <n v="0"/>
    <n v="0"/>
    <n v="0"/>
    <n v="6683.3987680802293"/>
    <n v="10279.073398747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84.57199999999909"/>
    <m/>
    <m/>
    <m/>
    <n v="0"/>
    <m/>
    <m/>
    <m/>
    <m/>
    <m/>
    <m/>
    <m/>
    <m/>
    <m/>
    <m/>
    <m/>
    <m/>
    <n v="16429.727999999999"/>
    <n v="145.6979999999985"/>
    <m/>
    <m/>
    <m/>
    <m/>
    <n v="151.79999999999922"/>
    <n v="0"/>
    <n v="31"/>
    <n v="1437.4101296772942"/>
    <n v="0"/>
    <n v="0"/>
    <n v="0"/>
    <n v="0"/>
    <m/>
    <m/>
    <m/>
    <n v="1437.4101296772942"/>
    <n v="0"/>
    <n v="0"/>
    <m/>
    <m/>
    <n v="0"/>
    <n v="0"/>
    <n v="0"/>
    <n v="0"/>
    <n v="0"/>
    <m/>
    <n v="0"/>
    <n v="0"/>
    <m/>
    <n v="0"/>
    <n v="0"/>
    <n v="0"/>
    <n v="0"/>
    <n v="297.17481933561311"/>
    <m/>
    <m/>
    <n v="10279.073398747036"/>
    <m/>
    <n v="0"/>
    <n v="0"/>
    <n v="151.79999999999927"/>
    <m/>
    <n v="0"/>
    <m/>
    <n v="-1583.156349916425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76"/>
    <s v="Regular"/>
    <s v="Verde"/>
    <s v="A4"/>
    <s v="Rural"/>
    <s v="Agropecuária rural"/>
    <s v="IRRIG./AQUIC. PR"/>
    <s v="Não se aplica"/>
    <s v="Fora ponta"/>
    <s v="CATIVO"/>
    <x v="3"/>
    <n v="0"/>
    <n v="0"/>
    <n v="13.784000000000001"/>
    <n v="4.1352000000000002"/>
    <n v="13.784000000000001"/>
    <n v="4.1352000000000002"/>
    <m/>
    <n v="94.17"/>
    <n v="207.07"/>
    <m/>
    <n v="4152.29216"/>
    <n v="4152.29216"/>
    <n v="4600.6856800000005"/>
    <n v="0"/>
    <n v="944.4992446835148"/>
    <n v="0"/>
    <n v="0"/>
    <n v="0"/>
    <n v="0"/>
    <n v="0"/>
    <n v="2854.321389644655"/>
    <n v="0"/>
    <n v="0"/>
    <n v="0"/>
    <n v="0"/>
    <n v="0"/>
    <n v="137.96308616948329"/>
    <m/>
    <n v="24.93993089971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.61080388579387"/>
    <n v="0"/>
    <n v="0"/>
    <n v="0"/>
    <n v="0"/>
    <n v="0"/>
    <m/>
    <m/>
    <m/>
    <m/>
    <m/>
    <m/>
    <n v="3220.4799760000005"/>
    <m/>
    <m/>
    <n v="3044.9321935304488"/>
    <m/>
    <m/>
    <m/>
    <m/>
    <m/>
    <m/>
    <m/>
    <m/>
    <m/>
    <m/>
    <m/>
    <m/>
    <n v="1381.8078"/>
    <n v="136.09015199999999"/>
    <m/>
    <m/>
    <m/>
    <m/>
    <n v="-9.5109599999999688"/>
    <n v="457.90448000000004"/>
    <n v="31"/>
    <n v="401.03878395833635"/>
    <n v="0"/>
    <n v="0"/>
    <n v="0"/>
    <n v="0"/>
    <n v="0"/>
    <n v="0"/>
    <n v="0"/>
    <n v="0"/>
    <n v="0"/>
    <n v="0"/>
    <n v="433.31031176936858"/>
    <n v="0"/>
    <n v="0"/>
    <n v="0"/>
    <n v="28.936344434796837"/>
    <n v="0"/>
    <n v="-51.875535475071047"/>
    <m/>
    <n v="0"/>
    <n v="0"/>
    <n v="0"/>
    <n v="0"/>
    <n v="-7.620669065088407"/>
    <n v="-1.7116677056702798"/>
    <n v="0"/>
    <n v="47.295990561401467"/>
    <m/>
    <m/>
    <m/>
    <n v="0"/>
    <n v="0"/>
    <n v="0"/>
    <n v="-9.5109600000000682"/>
    <n v="457.90448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4"/>
    <n v="0"/>
    <n v="0"/>
    <n v="722.93700000000001"/>
    <n v="722.93700000000001"/>
    <n v="722.93700000000001"/>
    <n v="722.93700000000001"/>
    <m/>
    <n v="897.25"/>
    <n v="207.07"/>
    <m/>
    <n v="798353.78784"/>
    <n v="798353.78784"/>
    <n v="800775.62678999989"/>
    <n v="0"/>
    <n v="56938.700413420091"/>
    <n v="0"/>
    <n v="0"/>
    <n v="0"/>
    <n v="144260.02863658482"/>
    <n v="414745.55041581998"/>
    <n v="149702.1577528684"/>
    <n v="0"/>
    <n v="0"/>
    <n v="0"/>
    <n v="0"/>
    <n v="0"/>
    <n v="7235.8255677675379"/>
    <m/>
    <n v="2013.3436788046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59.54142626674"/>
    <n v="0"/>
    <n v="1223.99"/>
    <n v="5677.23"/>
    <n v="0"/>
    <n v="6232"/>
    <m/>
    <m/>
    <m/>
    <m/>
    <m/>
    <m/>
    <m/>
    <m/>
    <m/>
    <n v="173161.69917913515"/>
    <m/>
    <m/>
    <m/>
    <m/>
    <m/>
    <m/>
    <m/>
    <m/>
    <m/>
    <m/>
    <m/>
    <m/>
    <n v="800778.94980000006"/>
    <n v="2425.1319600000279"/>
    <m/>
    <m/>
    <m/>
    <m/>
    <n v="-21594.128190000003"/>
    <n v="24015.967140000001"/>
    <n v="31"/>
    <n v="53648.518333474989"/>
    <n v="0"/>
    <n v="0"/>
    <n v="0"/>
    <n v="0"/>
    <n v="0"/>
    <n v="0"/>
    <n v="0"/>
    <n v="31026.253806688474"/>
    <n v="0"/>
    <n v="0"/>
    <n v="22726.063324115763"/>
    <n v="0"/>
    <n v="0"/>
    <n v="0"/>
    <n v="3561.3583131391133"/>
    <n v="0"/>
    <n v="-3127.2926789799385"/>
    <m/>
    <n v="0"/>
    <n v="0"/>
    <n v="0"/>
    <n v="0"/>
    <n v="-399.68540568106619"/>
    <n v="-138.17902580734858"/>
    <n v="0"/>
    <n v="12651.976212936366"/>
    <m/>
    <m/>
    <m/>
    <n v="414745.55041581998"/>
    <n v="0"/>
    <n v="0"/>
    <n v="-21594.128190000076"/>
    <n v="24015.967139999993"/>
    <n v="0"/>
    <n v="0"/>
    <n v="-63878.03902834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443"/>
    <n v="-0.443"/>
    <n v="-0.443"/>
    <n v="-0.443"/>
    <m/>
    <n v="897.25"/>
    <n v="207.07"/>
    <m/>
    <n v="-489.21375999999998"/>
    <n v="-489.21375999999998"/>
    <n v="-490.69781"/>
    <n v="0"/>
    <n v="-34.890791705425364"/>
    <n v="0"/>
    <n v="0"/>
    <n v="0"/>
    <n v="-88.399393980398116"/>
    <n v="-254.14701258091404"/>
    <n v="-91.734211811707937"/>
    <n v="0"/>
    <n v="0"/>
    <n v="0"/>
    <n v="0"/>
    <n v="0"/>
    <n v="-4.4339558308967719"/>
    <m/>
    <n v="-1.2337330219790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375494478545386"/>
    <n v="0"/>
    <n v="0"/>
    <n v="0"/>
    <n v="0"/>
    <n v="0"/>
    <m/>
    <m/>
    <m/>
    <m/>
    <m/>
    <m/>
    <m/>
    <m/>
    <m/>
    <n v="-106.10970629025333"/>
    <m/>
    <m/>
    <m/>
    <m/>
    <m/>
    <m/>
    <m/>
    <m/>
    <m/>
    <m/>
    <m/>
    <m/>
    <n v="-487.37479999999999"/>
    <n v="1.8089600000000132"/>
    <m/>
    <m/>
    <m/>
    <m/>
    <n v="13.232410000000002"/>
    <n v="-14.71646"/>
    <n v="31"/>
    <n v="-32.874640005601378"/>
    <n v="0"/>
    <n v="0"/>
    <n v="0"/>
    <n v="0"/>
    <n v="0"/>
    <n v="0"/>
    <n v="0"/>
    <n v="-19.012210519537646"/>
    <n v="0"/>
    <n v="0"/>
    <n v="-13.926035121432832"/>
    <n v="0"/>
    <n v="0"/>
    <n v="0"/>
    <n v="-2.1823225712899283"/>
    <n v="0"/>
    <n v="1.9163366334661376"/>
    <m/>
    <n v="0"/>
    <n v="0"/>
    <n v="0"/>
    <n v="0"/>
    <n v="0.24491848489800994"/>
    <n v="8.4673088294907384E-2"/>
    <n v="0"/>
    <n v="-7.7528546226445885"/>
    <m/>
    <m/>
    <m/>
    <n v="-254.14701258091404"/>
    <n v="0"/>
    <n v="0"/>
    <n v="13.232409999999959"/>
    <n v="-14.716459999999998"/>
    <n v="0"/>
    <n v="0"/>
    <n v="39.14306680880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.3440000000000003"/>
    <n v="4.3440000000000003"/>
    <n v="4.3440000000000003"/>
    <n v="4.3440000000000003"/>
    <m/>
    <n v="897.25"/>
    <n v="207.07"/>
    <m/>
    <n v="4797.1660800000009"/>
    <n v="4797.1660800000009"/>
    <n v="4811.7184800000005"/>
    <n v="0"/>
    <n v="342.13453536877608"/>
    <n v="0"/>
    <n v="0"/>
    <n v="0"/>
    <n v="866.83288363622898"/>
    <n v="2492.1323310417397"/>
    <n v="899.53367067733473"/>
    <n v="0"/>
    <n v="0"/>
    <n v="0"/>
    <n v="0"/>
    <n v="0"/>
    <n v="43.478790359854578"/>
    <m/>
    <n v="12.09782448640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96421673770013"/>
    <n v="0"/>
    <n v="11.6"/>
    <n v="53.62"/>
    <n v="0"/>
    <n v="44"/>
    <m/>
    <m/>
    <m/>
    <m/>
    <m/>
    <m/>
    <m/>
    <m/>
    <m/>
    <n v="1040.4978874150349"/>
    <m/>
    <m/>
    <m/>
    <m/>
    <m/>
    <m/>
    <m/>
    <m/>
    <m/>
    <m/>
    <m/>
    <m/>
    <n v="4807.2878000000001"/>
    <n v="10.091719999998531"/>
    <m/>
    <m/>
    <m/>
    <m/>
    <n v="-129.75528000000003"/>
    <n v="144.30768"/>
    <n v="31"/>
    <n v="322.36441576598736"/>
    <n v="0"/>
    <n v="0"/>
    <n v="0"/>
    <n v="0"/>
    <n v="0"/>
    <n v="0"/>
    <n v="0"/>
    <n v="186.4312471712675"/>
    <n v="0"/>
    <n v="0"/>
    <n v="136.556877127549"/>
    <n v="0"/>
    <n v="0"/>
    <n v="0"/>
    <n v="21.399569412378014"/>
    <n v="0"/>
    <n v="-18.791346130421914"/>
    <m/>
    <n v="0"/>
    <n v="0"/>
    <n v="0"/>
    <n v="0"/>
    <n v="-2.4016385968328535"/>
    <n v="-0.83029321795276978"/>
    <n v="0"/>
    <n v="76.023477383223693"/>
    <m/>
    <m/>
    <m/>
    <n v="2492.1323310417397"/>
    <n v="0"/>
    <n v="0"/>
    <n v="-129.75528000000031"/>
    <n v="144.30768"/>
    <n v="0"/>
    <n v="0"/>
    <n v="-383.8317883012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31"/>
    <n v="2.31"/>
    <n v="2.31"/>
    <n v="2.31"/>
    <m/>
    <n v="808.48"/>
    <n v="207.07"/>
    <m/>
    <n v="2345.9205000000002"/>
    <n v="2345.9205000000002"/>
    <n v="2361.3281999999999"/>
    <n v="0"/>
    <n v="0"/>
    <n v="0"/>
    <n v="0"/>
    <n v="0"/>
    <n v="460.9539505524146"/>
    <n v="1325.2361152639085"/>
    <n v="478.34318123035064"/>
    <n v="0"/>
    <n v="0"/>
    <n v="0"/>
    <n v="0"/>
    <n v="0"/>
    <n v="0"/>
    <m/>
    <n v="6.4332353967756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60253375710707"/>
    <n v="0"/>
    <n v="2.31"/>
    <n v="11"/>
    <n v="0"/>
    <n v="5"/>
    <m/>
    <m/>
    <m/>
    <m/>
    <m/>
    <m/>
    <m/>
    <n v="1534.8563999999999"/>
    <m/>
    <n v="553.30343460606139"/>
    <m/>
    <m/>
    <m/>
    <m/>
    <m/>
    <m/>
    <m/>
    <m/>
    <m/>
    <m/>
    <m/>
    <m/>
    <n v="826.47180000000003"/>
    <n v="5.3522999999999001"/>
    <m/>
    <m/>
    <m/>
    <m/>
    <n v="-61.330500000000157"/>
    <n v="76.738200000000006"/>
    <n v="31"/>
    <n v="182.69281656063265"/>
    <n v="0"/>
    <n v="0"/>
    <n v="0"/>
    <n v="0"/>
    <n v="0"/>
    <n v="0"/>
    <n v="0"/>
    <n v="99.138163205715443"/>
    <n v="0"/>
    <n v="0"/>
    <n v="72.616571400699399"/>
    <n v="0"/>
    <n v="0"/>
    <n v="0"/>
    <n v="11.3796052814441"/>
    <n v="0"/>
    <n v="0"/>
    <m/>
    <n v="0"/>
    <n v="0"/>
    <n v="0"/>
    <n v="0"/>
    <n v="0"/>
    <n v="-0.44152332722626664"/>
    <n v="0"/>
    <n v="36.834346850467597"/>
    <m/>
    <m/>
    <m/>
    <n v="1325.2361152639085"/>
    <n v="0"/>
    <n v="0"/>
    <n v="-61.330500000000029"/>
    <n v="76.738199999999949"/>
    <n v="0"/>
    <n v="0"/>
    <n v="-204.1094454364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.375"/>
    <n v="4.375"/>
    <n v="4.375"/>
    <n v="4.375"/>
    <m/>
    <n v="808.48"/>
    <n v="207.07"/>
    <m/>
    <n v="4443.03125"/>
    <n v="4443.03125"/>
    <n v="4472.2124999999996"/>
    <n v="0"/>
    <n v="0"/>
    <n v="0"/>
    <n v="0"/>
    <n v="0"/>
    <n v="873.01884574320945"/>
    <n v="2509.9168849695234"/>
    <n v="905.95299475445188"/>
    <n v="0"/>
    <n v="0"/>
    <n v="0"/>
    <n v="0"/>
    <n v="0"/>
    <n v="0"/>
    <m/>
    <n v="12.184157948438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97017684793693"/>
    <n v="0"/>
    <n v="7.24"/>
    <n v="33.619999999999997"/>
    <n v="0"/>
    <n v="31"/>
    <m/>
    <m/>
    <m/>
    <m/>
    <m/>
    <m/>
    <m/>
    <n v="1788.8499999999995"/>
    <m/>
    <n v="1047.9231716023887"/>
    <m/>
    <m/>
    <m/>
    <m/>
    <m/>
    <m/>
    <m/>
    <m/>
    <m/>
    <m/>
    <m/>
    <m/>
    <n v="2686.4292"/>
    <n v="20.580449999999928"/>
    <m/>
    <m/>
    <m/>
    <m/>
    <n v="-116.1562500000003"/>
    <n v="145.33750000000001"/>
    <n v="31"/>
    <n v="346.00912227392587"/>
    <n v="0"/>
    <n v="0"/>
    <n v="0"/>
    <n v="0"/>
    <n v="0"/>
    <n v="0"/>
    <n v="0"/>
    <n v="187.76167273809745"/>
    <n v="0"/>
    <n v="0"/>
    <n v="137.53138522859751"/>
    <n v="0"/>
    <n v="0"/>
    <n v="0"/>
    <n v="21.552282730007761"/>
    <n v="0"/>
    <n v="0"/>
    <m/>
    <n v="0"/>
    <n v="0"/>
    <n v="0"/>
    <n v="0"/>
    <n v="0"/>
    <n v="-0.8362184227770193"/>
    <n v="0"/>
    <n v="69.762020550128028"/>
    <m/>
    <m/>
    <m/>
    <n v="2509.9168849695234"/>
    <n v="0"/>
    <n v="0"/>
    <n v="-116.15625"/>
    <n v="145.33749999999998"/>
    <n v="0"/>
    <n v="0"/>
    <n v="-386.5709193871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.5640000000000001"/>
    <n v="1.5640000000000001"/>
    <n v="1.5640000000000001"/>
    <n v="1.5640000000000001"/>
    <m/>
    <n v="808.48"/>
    <n v="207.07"/>
    <m/>
    <n v="1588.3202000000001"/>
    <n v="1588.3202000000001"/>
    <n v="1598.75208"/>
    <n v="0"/>
    <n v="0"/>
    <n v="0"/>
    <n v="0"/>
    <n v="0"/>
    <n v="312.09176565540105"/>
    <n v="897.25943042110509"/>
    <n v="323.86525343907721"/>
    <n v="0"/>
    <n v="0"/>
    <n v="0"/>
    <n v="0"/>
    <n v="0"/>
    <n v="0"/>
    <m/>
    <n v="4.3556624071675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752310077753918"/>
    <n v="0"/>
    <n v="3.84"/>
    <n v="18.02"/>
    <n v="0"/>
    <n v="39"/>
    <m/>
    <m/>
    <m/>
    <m/>
    <m/>
    <m/>
    <m/>
    <n v="159.87207999999993"/>
    <m/>
    <n v="374.61756351683113"/>
    <m/>
    <m/>
    <m/>
    <m/>
    <m/>
    <m/>
    <m/>
    <m/>
    <m/>
    <m/>
    <m/>
    <m/>
    <n v="1435.1999999999998"/>
    <n v="5.6739999999997508"/>
    <m/>
    <m/>
    <m/>
    <m/>
    <n v="-41.524200000000107"/>
    <n v="51.95608"/>
    <n v="31"/>
    <n v="123.69331822546746"/>
    <n v="0"/>
    <n v="0"/>
    <n v="0"/>
    <n v="0"/>
    <n v="0"/>
    <n v="0"/>
    <n v="0"/>
    <n v="67.122115694259321"/>
    <n v="0"/>
    <n v="0"/>
    <n v="49.165505485148913"/>
    <n v="0"/>
    <n v="0"/>
    <n v="0"/>
    <n v="7.7046331862244841"/>
    <n v="0"/>
    <n v="0"/>
    <m/>
    <n v="0"/>
    <n v="0"/>
    <n v="0"/>
    <n v="0"/>
    <n v="0"/>
    <n v="-0.29893614016531611"/>
    <n v="0"/>
    <n v="24.938925746377198"/>
    <m/>
    <m/>
    <m/>
    <n v="897.25943042110509"/>
    <n v="0"/>
    <n v="0"/>
    <n v="-41.524200000000064"/>
    <n v="51.956079999999986"/>
    <n v="0"/>
    <n v="0"/>
    <n v="-138.1935812392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6.2E-2"/>
    <n v="6.2E-2"/>
    <n v="6.2E-2"/>
    <n v="6.2E-2"/>
    <m/>
    <n v="808.48"/>
    <n v="207.07"/>
    <m/>
    <n v="62.964100000000002"/>
    <n v="62.964100000000002"/>
    <n v="63.377639999999992"/>
    <n v="0"/>
    <n v="0"/>
    <n v="0"/>
    <n v="0"/>
    <n v="0"/>
    <n v="12.371924213960911"/>
    <n v="35.569107855568106"/>
    <n v="12.838648154234519"/>
    <n v="0"/>
    <n v="0"/>
    <n v="0"/>
    <n v="0"/>
    <n v="0"/>
    <n v="0"/>
    <m/>
    <n v="0.17266692406930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9202204736206"/>
    <n v="0"/>
    <n v="0"/>
    <n v="0"/>
    <n v="0"/>
    <n v="2"/>
    <m/>
    <m/>
    <m/>
    <m/>
    <m/>
    <m/>
    <m/>
    <m/>
    <m/>
    <n v="14.850568374708139"/>
    <m/>
    <m/>
    <m/>
    <m/>
    <m/>
    <m/>
    <m/>
    <m/>
    <m/>
    <m/>
    <m/>
    <m/>
    <n v="61.333199999999998"/>
    <n v="-1.660899999999998"/>
    <m/>
    <m/>
    <m/>
    <m/>
    <n v="-1.6461000000000041"/>
    <n v="2.0596399999999999"/>
    <n v="31"/>
    <n v="4.9034435613676344"/>
    <n v="0"/>
    <n v="0"/>
    <n v="0"/>
    <n v="0"/>
    <n v="0"/>
    <n v="0"/>
    <n v="0"/>
    <n v="2.6608511336598948"/>
    <n v="0"/>
    <n v="0"/>
    <n v="1.9490162020966935"/>
    <n v="0"/>
    <n v="0"/>
    <n v="0"/>
    <n v="0.3054266352595385"/>
    <n v="0"/>
    <n v="0"/>
    <m/>
    <n v="0"/>
    <n v="0"/>
    <n v="0"/>
    <n v="0"/>
    <n v="0"/>
    <n v="-1.1850409648497179E-2"/>
    <n v="0"/>
    <n v="0.98862749122467142"/>
    <m/>
    <m/>
    <m/>
    <n v="35.569107855568106"/>
    <n v="0"/>
    <n v="0"/>
    <n v="-1.6461000000000041"/>
    <n v="2.0596399999999999"/>
    <n v="0"/>
    <n v="0"/>
    <n v="-5.47826217188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4"/>
    <s v="Regular"/>
    <s v="Branca"/>
    <s v="B1"/>
    <s v="Residencial"/>
    <s v="Residencial"/>
    <s v="Não se aplica"/>
    <s v="Não se aplica"/>
    <s v="Fora ponta"/>
    <s v="CATIVO"/>
    <x v="4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1.9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86"/>
    <s v="Regular"/>
    <s v="Convencional"/>
    <s v="B3"/>
    <s v="Industrial"/>
    <s v="Não se aplica"/>
    <s v="Não se aplica"/>
    <s v="Não se aplica"/>
    <s v="Não se aplica"/>
    <s v="CATIVO"/>
    <x v="4"/>
    <n v="0"/>
    <n v="0"/>
    <n v="4.8650000000000002"/>
    <n v="4.8650000000000002"/>
    <n v="4.8650000000000002"/>
    <n v="4.8650000000000002"/>
    <m/>
    <n v="897.25"/>
    <n v="207.07"/>
    <m/>
    <n v="5372.5168000000003"/>
    <n v="5372.5168000000003"/>
    <n v="5388.814550000001"/>
    <n v="0"/>
    <n v="383.16862674242532"/>
    <n v="0"/>
    <n v="0"/>
    <n v="0"/>
    <n v="970.79695646644893"/>
    <n v="2791.0275760861105"/>
    <n v="1007.4197301669506"/>
    <n v="0"/>
    <n v="0"/>
    <n v="0"/>
    <n v="0"/>
    <n v="0"/>
    <n v="48.693442702737684"/>
    <m/>
    <n v="13.548783638663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87083665490587"/>
    <n v="0"/>
    <n v="0"/>
    <n v="0"/>
    <n v="0"/>
    <n v="9"/>
    <m/>
    <m/>
    <m/>
    <m/>
    <m/>
    <m/>
    <m/>
    <m/>
    <m/>
    <n v="1165.2905668218564"/>
    <m/>
    <m/>
    <m/>
    <m/>
    <m/>
    <m/>
    <m/>
    <m/>
    <m/>
    <m/>
    <m/>
    <m/>
    <n v="5394.3528999999999"/>
    <n v="21.806099999998878"/>
    <m/>
    <m/>
    <m/>
    <m/>
    <n v="-145.31755000000004"/>
    <n v="161.61529999999999"/>
    <n v="31"/>
    <n v="361.02736710440331"/>
    <n v="0"/>
    <n v="0"/>
    <n v="0"/>
    <n v="0"/>
    <n v="0"/>
    <n v="0"/>
    <n v="0"/>
    <n v="208.79098008476433"/>
    <n v="0"/>
    <n v="0"/>
    <n v="152.93490037420042"/>
    <n v="0"/>
    <n v="0"/>
    <n v="0"/>
    <n v="23.966138395768638"/>
    <n v="0"/>
    <n v="-21.045096437500604"/>
    <m/>
    <n v="0"/>
    <n v="0"/>
    <n v="0"/>
    <n v="0"/>
    <n v="-2.6896804267016137"/>
    <n v="-0.92987488612804547"/>
    <n v="0"/>
    <n v="85.141394445069807"/>
    <m/>
    <m/>
    <m/>
    <n v="2791.0275760861105"/>
    <n v="0"/>
    <n v="0"/>
    <n v="-145.31754999999976"/>
    <n v="161.61530000000016"/>
    <n v="0"/>
    <n v="0"/>
    <n v="-429.8668623585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7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13200000000000001"/>
    <n v="0.13200000000000001"/>
    <n v="0.13200000000000001"/>
    <n v="0.13200000000000001"/>
    <m/>
    <n v="897.25"/>
    <n v="207.07"/>
    <m/>
    <n v="145.77024"/>
    <n v="145.77024"/>
    <n v="146.21244000000002"/>
    <n v="0"/>
    <n v="10.396353284686565"/>
    <n v="0"/>
    <n v="0"/>
    <n v="0"/>
    <n v="26.340225745852262"/>
    <n v="75.727778015080489"/>
    <n v="27.333896070305752"/>
    <n v="0"/>
    <n v="0"/>
    <n v="0"/>
    <n v="0"/>
    <n v="0"/>
    <n v="1.321178712592266"/>
    <m/>
    <n v="0.36761345124432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834430500406118"/>
    <n v="0"/>
    <n v="0"/>
    <n v="0"/>
    <n v="0"/>
    <n v="1"/>
    <m/>
    <m/>
    <m/>
    <m/>
    <m/>
    <m/>
    <m/>
    <m/>
    <m/>
    <n v="31.617339120346365"/>
    <m/>
    <m/>
    <m/>
    <m/>
    <m/>
    <m/>
    <m/>
    <m/>
    <m/>
    <m/>
    <m/>
    <m/>
    <n v="143.99709999999999"/>
    <n v="-1.8031400000000133"/>
    <m/>
    <m/>
    <m/>
    <m/>
    <n v="-3.9428400000000008"/>
    <n v="4.38504"/>
    <n v="31"/>
    <n v="9.7956037939940757"/>
    <n v="0"/>
    <n v="0"/>
    <n v="0"/>
    <n v="0"/>
    <n v="0"/>
    <n v="0"/>
    <n v="0"/>
    <n v="5.6650378974694569"/>
    <n v="0"/>
    <n v="0"/>
    <n v="4.149518365754254"/>
    <n v="0"/>
    <n v="0"/>
    <n v="0"/>
    <n v="0.65026315893966302"/>
    <n v="0"/>
    <n v="-0.57100775534431136"/>
    <m/>
    <n v="0"/>
    <n v="0"/>
    <n v="0"/>
    <n v="0"/>
    <n v="-7.2977968412047955E-2"/>
    <n v="-2.5229904412929549E-2"/>
    <n v="0"/>
    <n v="2.3101056663410513"/>
    <m/>
    <m/>
    <m/>
    <n v="75.727778015080489"/>
    <n v="0"/>
    <n v="0"/>
    <n v="-3.9428400000000039"/>
    <n v="4.38504"/>
    <n v="0"/>
    <n v="0"/>
    <n v="-11.66339688208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4"/>
    <n v="0"/>
    <n v="0"/>
    <n v="1.133"/>
    <n v="1.133"/>
    <n v="1.133"/>
    <n v="1.133"/>
    <m/>
    <n v="4750.8599999999997"/>
    <n v="207.07"/>
    <m/>
    <n v="5617.3346899999997"/>
    <n v="5617.3346899999997"/>
    <n v="5472.3560100000004"/>
    <n v="0"/>
    <n v="77.634768153396848"/>
    <n v="0"/>
    <n v="0"/>
    <n v="0"/>
    <n v="1458.5533987492738"/>
    <n v="3817.477831207912"/>
    <n v="234.61594127012435"/>
    <n v="0"/>
    <n v="0"/>
    <n v="0"/>
    <n v="0"/>
    <n v="0"/>
    <n v="11.340117283083616"/>
    <m/>
    <n v="2.0499812615626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67588566642808"/>
    <n v="0"/>
    <n v="0"/>
    <n v="0"/>
    <n v="0"/>
    <n v="0"/>
    <m/>
    <m/>
    <m/>
    <m/>
    <m/>
    <m/>
    <m/>
    <m/>
    <m/>
    <n v="250.28352983676717"/>
    <m/>
    <m/>
    <m/>
    <m/>
    <m/>
    <m/>
    <m/>
    <m/>
    <m/>
    <m/>
    <m/>
    <m/>
    <n v="5457.8660999999993"/>
    <n v="-159.49859000000106"/>
    <m/>
    <m/>
    <m/>
    <m/>
    <n v="-182.61693999999929"/>
    <n v="37.638260000000002"/>
    <n v="31"/>
    <n v="346.65768613972295"/>
    <n v="0"/>
    <n v="0"/>
    <n v="0"/>
    <n v="0"/>
    <n v="0"/>
    <n v="0"/>
    <n v="0"/>
    <n v="313.69360153258481"/>
    <n v="0"/>
    <n v="0"/>
    <n v="35.61669930605737"/>
    <n v="0"/>
    <n v="0"/>
    <n v="0"/>
    <n v="2.3784734652223438"/>
    <n v="0"/>
    <n v="-4.264000413033628"/>
    <m/>
    <n v="0"/>
    <n v="0"/>
    <n v="0"/>
    <n v="0"/>
    <n v="-0.6263942288700779"/>
    <n v="-0.14069352223769793"/>
    <n v="0"/>
    <n v="96.321251004151136"/>
    <m/>
    <m/>
    <m/>
    <n v="3817.477831207912"/>
    <n v="0"/>
    <n v="0"/>
    <n v="-182.61693999999898"/>
    <n v="37.638259999999974"/>
    <n v="0"/>
    <n v="0"/>
    <n v="-587.9580809179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4"/>
    <n v="0"/>
    <n v="0"/>
    <n v="40.93"/>
    <n v="40.93"/>
    <n v="40.93"/>
    <n v="40.93"/>
    <m/>
    <n v="94.17"/>
    <n v="207.07"/>
    <m/>
    <n v="12329.753199999999"/>
    <n v="12329.753199999999"/>
    <n v="13661.206099999999"/>
    <n v="0"/>
    <n v="2804.5816950737271"/>
    <n v="0"/>
    <n v="0"/>
    <n v="0"/>
    <n v="0"/>
    <n v="0"/>
    <n v="8475.5785314970781"/>
    <n v="0"/>
    <n v="0"/>
    <n v="0"/>
    <n v="0"/>
    <n v="0"/>
    <n v="409.66549020001094"/>
    <m/>
    <n v="74.056251576132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99682262373346"/>
    <n v="0"/>
    <n v="0"/>
    <n v="0"/>
    <n v="0"/>
    <n v="0"/>
    <m/>
    <m/>
    <m/>
    <m/>
    <m/>
    <m/>
    <m/>
    <m/>
    <m/>
    <n v="9041.5753541208123"/>
    <m/>
    <m/>
    <m/>
    <m/>
    <m/>
    <m/>
    <m/>
    <m/>
    <m/>
    <m/>
    <m/>
    <m/>
    <n v="13661.206099999999"/>
    <n v="1331.4228999999996"/>
    <m/>
    <m/>
    <m/>
    <m/>
    <n v="-28.241699999999906"/>
    <n v="1359.6946"/>
    <n v="31"/>
    <n v="1190.8384668757008"/>
    <n v="0"/>
    <n v="0"/>
    <n v="0"/>
    <n v="0"/>
    <n v="0"/>
    <n v="0"/>
    <n v="0"/>
    <n v="0"/>
    <n v="0"/>
    <n v="0"/>
    <n v="1286.6650508357707"/>
    <n v="0"/>
    <n v="0"/>
    <n v="0"/>
    <n v="85.923141157590976"/>
    <n v="0"/>
    <n v="-154.03842621841659"/>
    <m/>
    <n v="0"/>
    <n v="0"/>
    <n v="0"/>
    <n v="0"/>
    <n v="-22.628698841705443"/>
    <n v="-5.0826000575366095"/>
    <n v="0"/>
    <n v="140.43999518849114"/>
    <m/>
    <m/>
    <m/>
    <n v="0"/>
    <n v="0"/>
    <n v="0"/>
    <n v="-28.241699999999582"/>
    <n v="1359.6946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4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4"/>
    <n v="0"/>
    <n v="0"/>
    <n v="92.972999999999999"/>
    <n v="92.972999999999999"/>
    <n v="92.972999999999999"/>
    <n v="92.972999999999999"/>
    <m/>
    <n v="897.25"/>
    <n v="207.07"/>
    <m/>
    <n v="102671.94336"/>
    <n v="102671.94336"/>
    <n v="102983.40291"/>
    <n v="0"/>
    <n v="7322.5769237663944"/>
    <n v="0"/>
    <n v="0"/>
    <n v="0"/>
    <n v="18552.498547493349"/>
    <n v="53338.172010576345"/>
    <n v="19252.38120715558"/>
    <n v="0"/>
    <n v="0"/>
    <n v="0"/>
    <n v="0"/>
    <n v="0"/>
    <n v="930.56021549879347"/>
    <m/>
    <n v="258.92519244347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7.0041719047408"/>
    <n v="0"/>
    <n v="130.94"/>
    <n v="605.34"/>
    <n v="0"/>
    <n v="234"/>
    <m/>
    <m/>
    <m/>
    <m/>
    <m/>
    <m/>
    <m/>
    <m/>
    <m/>
    <n v="22269.385379060321"/>
    <m/>
    <m/>
    <m/>
    <m/>
    <m/>
    <m/>
    <m/>
    <m/>
    <m/>
    <m/>
    <m/>
    <m/>
    <n v="102980.0799"/>
    <n v="308.10654000000795"/>
    <m/>
    <m/>
    <m/>
    <m/>
    <n v="-2777.1035100000004"/>
    <n v="3088.56306"/>
    <n v="31"/>
    <n v="6899.4444813561495"/>
    <n v="0"/>
    <n v="0"/>
    <n v="0"/>
    <n v="0"/>
    <n v="0"/>
    <n v="0"/>
    <n v="0"/>
    <n v="3990.1179427380885"/>
    <n v="0"/>
    <n v="0"/>
    <n v="2922.6755380247741"/>
    <n v="0"/>
    <n v="0"/>
    <n v="0"/>
    <n v="458.00694451588834"/>
    <n v="0"/>
    <n v="-402.18412149717278"/>
    <m/>
    <n v="0"/>
    <n v="0"/>
    <n v="0"/>
    <n v="0"/>
    <n v="-51.401368614949433"/>
    <n v="-17.770453810479495"/>
    <n v="0"/>
    <n v="1627.101925126716"/>
    <m/>
    <m/>
    <m/>
    <n v="53338.172010576345"/>
    <n v="0"/>
    <n v="0"/>
    <n v="-2777.1035100000008"/>
    <n v="3088.5630600000004"/>
    <n v="0"/>
    <n v="0"/>
    <n v="-8215.007563013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66"/>
    <n v="0.66"/>
    <n v="0.66"/>
    <n v="0.66"/>
    <m/>
    <n v="897.25"/>
    <n v="207.07"/>
    <m/>
    <n v="728.85120000000006"/>
    <n v="728.85120000000006"/>
    <n v="731.06220000000008"/>
    <n v="0"/>
    <n v="51.98176642343283"/>
    <n v="0"/>
    <n v="0"/>
    <n v="0"/>
    <n v="131.70112872926131"/>
    <n v="378.63889007540246"/>
    <n v="136.66948035152876"/>
    <n v="0"/>
    <n v="0"/>
    <n v="0"/>
    <n v="0"/>
    <n v="0"/>
    <n v="6.60589356296133"/>
    <m/>
    <n v="1.8380672562216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17215250203061"/>
    <n v="0"/>
    <n v="14.43"/>
    <n v="66.67"/>
    <n v="0"/>
    <n v="6"/>
    <m/>
    <m/>
    <m/>
    <m/>
    <m/>
    <m/>
    <m/>
    <m/>
    <m/>
    <n v="158.08669560173183"/>
    <m/>
    <m/>
    <m/>
    <m/>
    <m/>
    <m/>
    <m/>
    <m/>
    <m/>
    <m/>
    <m/>
    <m/>
    <n v="731.06220000000008"/>
    <n v="2.18100000000004"/>
    <m/>
    <m/>
    <m/>
    <m/>
    <n v="-19.714200000000005"/>
    <n v="21.9252"/>
    <n v="31"/>
    <n v="48.978018969970321"/>
    <n v="0"/>
    <n v="0"/>
    <n v="0"/>
    <n v="0"/>
    <n v="0"/>
    <n v="0"/>
    <n v="0"/>
    <n v="28.325189487347274"/>
    <n v="0"/>
    <n v="0"/>
    <n v="20.747591828771277"/>
    <n v="0"/>
    <n v="0"/>
    <n v="0"/>
    <n v="3.2513157946983107"/>
    <n v="0"/>
    <n v="-2.8550387767215639"/>
    <m/>
    <n v="0"/>
    <n v="0"/>
    <n v="0"/>
    <n v="0"/>
    <n v="-0.36488984206023911"/>
    <n v="-0.12614952206464758"/>
    <n v="0"/>
    <n v="11.550528331705255"/>
    <m/>
    <m/>
    <m/>
    <n v="378.63889007540246"/>
    <n v="0"/>
    <n v="0"/>
    <n v="-19.714200000000005"/>
    <n v="21.92519999999999"/>
    <n v="0"/>
    <n v="0"/>
    <n v="-58.316984410409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3"/>
    <s v="Regular"/>
    <s v="Azul"/>
    <s v="A4"/>
    <s v="Comercial"/>
    <s v="Não se aplica"/>
    <s v="Não se aplica"/>
    <s v="Não se aplica"/>
    <s v="Ponta"/>
    <s v="CATIVO"/>
    <x v="4"/>
    <n v="100"/>
    <n v="100"/>
    <n v="3.165"/>
    <n v="3.165"/>
    <n v="3.165"/>
    <n v="3.165"/>
    <n v="193.63"/>
    <n v="94.17"/>
    <n v="207.07"/>
    <n v="19363"/>
    <n v="953.42459999999994"/>
    <n v="20316.424600000002"/>
    <n v="19751.38205"/>
    <n v="0"/>
    <n v="216.87029232612625"/>
    <n v="0"/>
    <n v="0"/>
    <n v="0"/>
    <n v="5352.7545792855199"/>
    <n v="14009.762805225198"/>
    <n v="655.39228077664927"/>
    <n v="0"/>
    <n v="0"/>
    <n v="0"/>
    <n v="0"/>
    <n v="0"/>
    <n v="31.678262313291832"/>
    <m/>
    <n v="5.7265584226352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66917752360534"/>
    <n v="0"/>
    <n v="0"/>
    <n v="0"/>
    <n v="0"/>
    <n v="0"/>
    <m/>
    <m/>
    <m/>
    <m/>
    <m/>
    <m/>
    <m/>
    <m/>
    <m/>
    <n v="699.15919852900981"/>
    <m/>
    <m/>
    <m/>
    <m/>
    <m/>
    <m/>
    <m/>
    <m/>
    <m/>
    <m/>
    <m/>
    <m/>
    <n v="19753.050900000002"/>
    <n v="-563.4036999999953"/>
    <m/>
    <m/>
    <m/>
    <m/>
    <n v="-670.18385000000069"/>
    <n v="105.1413"/>
    <n v="31"/>
    <n v="1243.3103205991856"/>
    <n v="0"/>
    <n v="0"/>
    <n v="0"/>
    <n v="0"/>
    <n v="0"/>
    <n v="0"/>
    <n v="0"/>
    <n v="1151.2261831043998"/>
    <n v="0"/>
    <n v="0"/>
    <n v="99.494133542516693"/>
    <n v="0"/>
    <n v="0"/>
    <n v="0"/>
    <n v="6.644191100996224"/>
    <n v="0"/>
    <n v="-11.911351550972142"/>
    <m/>
    <n v="0"/>
    <n v="0"/>
    <n v="0"/>
    <n v="0"/>
    <n v="-1.7498126516979653"/>
    <n v="-0.3930229460567638"/>
    <n v="0"/>
    <n v="350.08234676950434"/>
    <m/>
    <m/>
    <n v="14009.762805225198"/>
    <n v="0"/>
    <n v="0"/>
    <n v="0"/>
    <n v="-670.18385000000126"/>
    <n v="105.1413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4"/>
    <s v="Regular"/>
    <s v="Azul"/>
    <s v="A4"/>
    <s v="Comercial"/>
    <s v="Não se aplica"/>
    <s v="Não se aplica"/>
    <s v="Não se aplica"/>
    <s v="Fora ponta"/>
    <s v="CATIVO"/>
    <x v="4"/>
    <n v="100"/>
    <n v="100"/>
    <n v="27.245000000000001"/>
    <n v="27.245000000000001"/>
    <n v="27.245000000000001"/>
    <n v="27.245000000000001"/>
    <n v="73.75"/>
    <n v="94.17"/>
    <n v="207.07"/>
    <n v="7375"/>
    <n v="8207.2838000000011"/>
    <n v="15582.283800000001"/>
    <n v="16534.56365"/>
    <n v="0"/>
    <n v="1866.8660709084706"/>
    <n v="0"/>
    <n v="0"/>
    <n v="0"/>
    <n v="2905.8255513392301"/>
    <n v="4469.1623472813199"/>
    <n v="5641.7575639051529"/>
    <n v="0"/>
    <n v="0"/>
    <n v="0"/>
    <n v="0"/>
    <n v="0"/>
    <n v="272.69328806497191"/>
    <m/>
    <n v="49.295445252669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75503133114148"/>
    <n v="0"/>
    <n v="0"/>
    <n v="0"/>
    <n v="0"/>
    <n v="0"/>
    <m/>
    <m/>
    <m/>
    <m/>
    <m/>
    <m/>
    <m/>
    <m/>
    <m/>
    <n v="6018.5125952362941"/>
    <m/>
    <m/>
    <m/>
    <m/>
    <m/>
    <m/>
    <m/>
    <m/>
    <m/>
    <m/>
    <m/>
    <m/>
    <n v="16536.232499999998"/>
    <n v="953.91869999999653"/>
    <m/>
    <m/>
    <m/>
    <m/>
    <n v="47.200949999999722"/>
    <n v="905.07889999999998"/>
    <n v="31"/>
    <n v="1417.6409657714375"/>
    <n v="0"/>
    <n v="0"/>
    <n v="0"/>
    <n v="0"/>
    <n v="0"/>
    <n v="0"/>
    <n v="0"/>
    <n v="624.9609259466497"/>
    <n v="0"/>
    <n v="0"/>
    <n v="856.46687784071673"/>
    <n v="0"/>
    <n v="0"/>
    <n v="0"/>
    <n v="57.194624501308681"/>
    <n v="0"/>
    <n v="-102.53547330370793"/>
    <m/>
    <n v="0"/>
    <n v="0"/>
    <n v="0"/>
    <n v="0"/>
    <n v="-15.062763252926118"/>
    <n v="-3.383225960605543"/>
    <n v="0"/>
    <n v="222.69013898491229"/>
    <m/>
    <m/>
    <n v="4469.1623472813199"/>
    <n v="0"/>
    <n v="0"/>
    <n v="0"/>
    <n v="47.200950000000375"/>
    <n v="905.0788999999995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5"/>
    <s v="Regular"/>
    <s v="Azul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4.26"/>
    <n v="1219.6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96"/>
    <s v="Regular"/>
    <s v="Verde"/>
    <s v="A4"/>
    <s v="Comercial"/>
    <s v="Não se aplica"/>
    <s v="Não se aplica"/>
    <s v="Não se aplica"/>
    <s v="Ponta"/>
    <s v="CATIVO"/>
    <x v="4"/>
    <n v="0"/>
    <n v="0"/>
    <n v="0.91800000000000004"/>
    <n v="0.91800000000000004"/>
    <n v="0.91800000000000004"/>
    <n v="0.91800000000000004"/>
    <m/>
    <n v="4750.8599999999997"/>
    <n v="207.07"/>
    <m/>
    <n v="4551.3797399999994"/>
    <n v="4551.3797399999994"/>
    <n v="4433.9124600000005"/>
    <n v="0"/>
    <n v="62.902662987483062"/>
    <n v="0"/>
    <n v="0"/>
    <n v="0"/>
    <n v="1181.7758341145925"/>
    <n v="3093.0667687986438"/>
    <n v="190.09482267076271"/>
    <n v="0"/>
    <n v="0"/>
    <n v="0"/>
    <n v="0"/>
    <n v="0"/>
    <n v="9.1881974103007593"/>
    <m/>
    <n v="1.6609733434373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94480409689406"/>
    <n v="0"/>
    <n v="0"/>
    <n v="0"/>
    <n v="0"/>
    <n v="0"/>
    <m/>
    <m/>
    <m/>
    <m/>
    <m/>
    <m/>
    <m/>
    <m/>
    <m/>
    <n v="202.78930308045213"/>
    <m/>
    <m/>
    <m/>
    <m/>
    <m/>
    <m/>
    <m/>
    <m/>
    <m/>
    <m/>
    <m/>
    <m/>
    <n v="4443.5724"/>
    <n v="-107.83734000000004"/>
    <m/>
    <m/>
    <m/>
    <m/>
    <n v="-147.96323999999944"/>
    <n v="30.49596"/>
    <n v="31"/>
    <n v="280.87533616616588"/>
    <n v="0"/>
    <n v="0"/>
    <n v="0"/>
    <n v="0"/>
    <n v="0"/>
    <n v="0"/>
    <n v="0"/>
    <n v="254.16657211554548"/>
    <n v="0"/>
    <n v="0"/>
    <n v="28.858014089109133"/>
    <n v="0"/>
    <n v="0"/>
    <n v="0"/>
    <n v="1.9271303098624113"/>
    <n v="0"/>
    <n v="-3.4548564688127712"/>
    <m/>
    <n v="0"/>
    <n v="0"/>
    <n v="0"/>
    <n v="0"/>
    <n v="-0.50752859850197041"/>
    <n v="-0.11399528103636936"/>
    <n v="0"/>
    <n v="78.04316718606421"/>
    <m/>
    <m/>
    <m/>
    <n v="3093.0667687986438"/>
    <n v="0"/>
    <n v="0"/>
    <n v="-147.96323999999913"/>
    <n v="30.495959999999997"/>
    <n v="0"/>
    <n v="0"/>
    <n v="-476.3861591197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7"/>
    <s v="Regular"/>
    <s v="Verde"/>
    <s v="A4"/>
    <s v="Comercial"/>
    <s v="Não se aplica"/>
    <s v="Não se aplica"/>
    <s v="Não se aplica"/>
    <s v="Fora ponta"/>
    <s v="CATIVO"/>
    <x v="4"/>
    <n v="0"/>
    <n v="0"/>
    <n v="69.894000000000005"/>
    <n v="69.894000000000005"/>
    <n v="69.894000000000005"/>
    <n v="69.894000000000005"/>
    <m/>
    <n v="94.17"/>
    <n v="207.07"/>
    <m/>
    <n v="21054.868560000003"/>
    <n v="21054.868560000003"/>
    <n v="23328.520380000002"/>
    <n v="0"/>
    <n v="4789.236085890132"/>
    <n v="0"/>
    <n v="0"/>
    <n v="0"/>
    <n v="0"/>
    <n v="0"/>
    <n v="14473.297969226896"/>
    <n v="0"/>
    <n v="0"/>
    <n v="0"/>
    <n v="0"/>
    <n v="0"/>
    <n v="699.56412831760485"/>
    <m/>
    <n v="126.46195083465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5228908004699"/>
    <n v="0"/>
    <n v="0"/>
    <n v="0"/>
    <n v="0"/>
    <n v="0"/>
    <m/>
    <m/>
    <m/>
    <m/>
    <m/>
    <m/>
    <m/>
    <m/>
    <m/>
    <n v="15439.820860027367"/>
    <m/>
    <m/>
    <m/>
    <m/>
    <m/>
    <m/>
    <m/>
    <m/>
    <m/>
    <m/>
    <m/>
    <m/>
    <n v="23327.185300000001"/>
    <n v="2272.2867399999996"/>
    <m/>
    <m/>
    <m/>
    <m/>
    <n v="-48.226859999999846"/>
    <n v="2321.8786800000003"/>
    <n v="31"/>
    <n v="2033.5319766384164"/>
    <n v="0"/>
    <n v="0"/>
    <n v="0"/>
    <n v="0"/>
    <n v="0"/>
    <n v="0"/>
    <n v="0"/>
    <n v="0"/>
    <n v="0"/>
    <n v="0"/>
    <n v="2197.1699746668783"/>
    <n v="0"/>
    <n v="0"/>
    <n v="0"/>
    <n v="146.72641163128924"/>
    <n v="0"/>
    <n v="-263.04328761568559"/>
    <m/>
    <n v="0"/>
    <n v="0"/>
    <n v="0"/>
    <n v="0"/>
    <n v="-38.641834274179359"/>
    <n v="-8.679287769886713"/>
    <n v="0"/>
    <n v="239.82196490848764"/>
    <m/>
    <m/>
    <m/>
    <n v="0"/>
    <n v="0"/>
    <n v="0"/>
    <n v="-48.22686000000067"/>
    <n v="2321.87868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4"/>
    <n v="290"/>
    <n v="290"/>
    <n v="0"/>
    <n v="0"/>
    <n v="0"/>
    <n v="0"/>
    <n v="73.75"/>
    <m/>
    <m/>
    <n v="21387.5"/>
    <m/>
    <n v="21387.5"/>
    <n v="21578.899999999998"/>
    <n v="0"/>
    <n v="0"/>
    <n v="0"/>
    <n v="0"/>
    <n v="0"/>
    <n v="8426.8940988837676"/>
    <n v="12960.570807115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1578.899999999998"/>
    <n v="191.37000000000262"/>
    <m/>
    <m/>
    <m/>
    <m/>
    <n v="191.39999999999901"/>
    <n v="0"/>
    <n v="31"/>
    <n v="1812.3866852452848"/>
    <n v="0"/>
    <n v="0"/>
    <n v="0"/>
    <n v="0"/>
    <m/>
    <m/>
    <m/>
    <n v="1812.3866852452848"/>
    <n v="0"/>
    <n v="0"/>
    <m/>
    <m/>
    <n v="0"/>
    <n v="0"/>
    <n v="0"/>
    <n v="0"/>
    <n v="0"/>
    <m/>
    <n v="0"/>
    <n v="0"/>
    <m/>
    <n v="0"/>
    <n v="0"/>
    <n v="0"/>
    <n v="0"/>
    <n v="374.6986852492513"/>
    <m/>
    <m/>
    <n v="12960.570807115828"/>
    <m/>
    <n v="0"/>
    <n v="0"/>
    <n v="191.39999999999782"/>
    <m/>
    <n v="0"/>
    <m/>
    <n v="-1996.153658590275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9"/>
    <s v="Regular"/>
    <s v="Branca"/>
    <s v="B3"/>
    <s v="Comercial"/>
    <s v="Não se aplica"/>
    <s v="Não se aplica"/>
    <s v="Não se aplica"/>
    <s v="Ponta"/>
    <s v="CATIVO"/>
    <x v="4"/>
    <n v="0"/>
    <n v="0"/>
    <n v="3.4000000000000002E-2"/>
    <n v="3.4000000000000002E-2"/>
    <n v="3.4000000000000002E-2"/>
    <n v="3.4000000000000002E-2"/>
    <m/>
    <n v="2482.39"/>
    <n v="207.07"/>
    <m/>
    <n v="91.441640000000007"/>
    <n v="91.441640000000007"/>
    <n v="89.332620000000006"/>
    <n v="0"/>
    <n v="2.6778485733283581"/>
    <n v="0"/>
    <n v="0"/>
    <n v="0"/>
    <n v="20.69306574347112"/>
    <n v="59.492177734084287"/>
    <n v="7.0405489878060266"/>
    <n v="0"/>
    <n v="0"/>
    <n v="0"/>
    <n v="0"/>
    <n v="0"/>
    <n v="0.34030360778891705"/>
    <m/>
    <n v="9.4688313199294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033110886468243"/>
    <n v="0"/>
    <n v="0"/>
    <n v="0"/>
    <n v="0"/>
    <n v="0"/>
    <m/>
    <m/>
    <m/>
    <m/>
    <m/>
    <m/>
    <m/>
    <m/>
    <m/>
    <n v="8.1438600764528513"/>
    <m/>
    <m/>
    <m/>
    <m/>
    <m/>
    <m/>
    <m/>
    <m/>
    <m/>
    <m/>
    <m/>
    <m/>
    <n v="78.82289999999999"/>
    <n v="-12.648740000000032"/>
    <m/>
    <m/>
    <m/>
    <m/>
    <n v="-3.2385000000000002"/>
    <n v="1.12948"/>
    <n v="31"/>
    <n v="5.5144270709614496"/>
    <n v="0"/>
    <n v="0"/>
    <n v="0"/>
    <n v="0"/>
    <n v="0"/>
    <n v="0"/>
    <n v="0"/>
    <n v="4.4504934309475352"/>
    <n v="0"/>
    <n v="0"/>
    <n v="1.0688153366336728"/>
    <n v="0"/>
    <n v="0"/>
    <n v="0"/>
    <n v="0.16749202578748901"/>
    <n v="0"/>
    <n v="-0.14707775516444421"/>
    <m/>
    <n v="0"/>
    <n v="0"/>
    <n v="0"/>
    <n v="0"/>
    <n v="-1.8797355500072999E-2"/>
    <n v="-6.4986117427242723E-3"/>
    <n v="0"/>
    <n v="1.5392431754522486"/>
    <m/>
    <m/>
    <m/>
    <n v="59.492177734084287"/>
    <n v="0"/>
    <n v="0"/>
    <n v="-3.2385000000000019"/>
    <n v="1.12948"/>
    <n v="0"/>
    <n v="0"/>
    <n v="-9.162831638263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0"/>
    <s v="Regular"/>
    <s v="Branca"/>
    <s v="B3"/>
    <s v="Comercial"/>
    <s v="Não se aplica"/>
    <s v="Não se aplica"/>
    <s v="Não se aplica"/>
    <s v="Fora ponta"/>
    <s v="CATIVO"/>
    <x v="4"/>
    <n v="0"/>
    <n v="0"/>
    <n v="0.20100000000000001"/>
    <n v="0.20100000000000001"/>
    <n v="0.20100000000000001"/>
    <n v="0.20100000000000001"/>
    <m/>
    <n v="595.67999999999995"/>
    <n v="207.07"/>
    <m/>
    <n v="161.35275000000001"/>
    <n v="161.35275000000001"/>
    <n v="164.52654000000001"/>
    <n v="0"/>
    <n v="15.830810683499998"/>
    <n v="0"/>
    <n v="0"/>
    <n v="0"/>
    <n v="24.466272945193516"/>
    <n v="70.340771715003342"/>
    <n v="41.622069016147393"/>
    <n v="0"/>
    <n v="0"/>
    <n v="0"/>
    <n v="0"/>
    <n v="0"/>
    <n v="2.0117948578109508"/>
    <m/>
    <n v="0.55977502803112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225155534709316"/>
    <n v="0"/>
    <n v="0"/>
    <n v="0"/>
    <n v="0"/>
    <n v="0"/>
    <m/>
    <m/>
    <m/>
    <m/>
    <m/>
    <m/>
    <m/>
    <m/>
    <m/>
    <n v="48.144584569618324"/>
    <m/>
    <m/>
    <m/>
    <m/>
    <m/>
    <m/>
    <m/>
    <m/>
    <m/>
    <m/>
    <m/>
    <m/>
    <n v="163.708"/>
    <n v="2.3252500000000111"/>
    <m/>
    <m/>
    <m/>
    <m/>
    <n v="-3.5034299999999901"/>
    <n v="6.6772200000000002"/>
    <n v="31"/>
    <n v="11.551728970713754"/>
    <n v="0"/>
    <n v="0"/>
    <n v="0"/>
    <n v="0"/>
    <n v="0"/>
    <n v="0"/>
    <n v="0"/>
    <n v="5.2620036282785492"/>
    <n v="0"/>
    <n v="0"/>
    <n v="6.3185847842167036"/>
    <n v="0"/>
    <n v="0"/>
    <n v="0"/>
    <n v="0.99017344656721384"/>
    <n v="0"/>
    <n v="-0.86948908200156616"/>
    <m/>
    <n v="0"/>
    <n v="0"/>
    <n v="0"/>
    <n v="0"/>
    <n v="-0.11112554280925502"/>
    <n v="-3.8418263537869923E-2"/>
    <n v="0"/>
    <n v="2.4557190520254837"/>
    <m/>
    <m/>
    <m/>
    <n v="70.340771715003342"/>
    <n v="0"/>
    <n v="0"/>
    <n v="-3.5034299999999945"/>
    <n v="6.6772199999999984"/>
    <n v="0"/>
    <n v="0"/>
    <n v="-10.83370407805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1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2"/>
    <s v="Regular"/>
    <s v="Branca"/>
    <s v="B3"/>
    <s v="Comercial"/>
    <s v="Não se aplica"/>
    <s v="Não se aplica"/>
    <s v="Não se aplica"/>
    <s v="Intermediário"/>
    <s v="CATIVO"/>
    <x v="4"/>
    <n v="0"/>
    <n v="0"/>
    <n v="0.02"/>
    <n v="0.02"/>
    <n v="0.02"/>
    <n v="0.02"/>
    <m/>
    <n v="1539.04"/>
    <n v="207.07"/>
    <m/>
    <n v="34.922199999999997"/>
    <n v="34.922199999999997"/>
    <n v="34.459800000000001"/>
    <n v="0"/>
    <n v="1.5752050431343281"/>
    <n v="0"/>
    <n v="0"/>
    <n v="0"/>
    <n v="7.3034255573200602"/>
    <n v="20.997237170999803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34.459800000000001"/>
    <n v="-0.4923999999999964"/>
    <m/>
    <m/>
    <m/>
    <m/>
    <n v="-1.1267999999999985"/>
    <n v="0.66439999999999999"/>
    <n v="31"/>
    <n v="2.1966036810162226"/>
    <n v="0"/>
    <n v="0"/>
    <n v="0"/>
    <n v="0"/>
    <n v="0"/>
    <n v="0"/>
    <n v="0"/>
    <n v="1.5707603633609795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57489364415900435"/>
    <m/>
    <m/>
    <m/>
    <n v="20.997237170999803"/>
    <n v="0"/>
    <n v="0"/>
    <n v="-1.1267999999999994"/>
    <n v="0.66439999999999966"/>
    <n v="0"/>
    <n v="0"/>
    <n v="-3.233940265668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Não se aplica"/>
    <s v="Não se aplica"/>
    <s v="Não se aplica"/>
    <s v="Não se aplica"/>
    <s v="CATIVO"/>
    <x v="4"/>
    <n v="0"/>
    <n v="0"/>
    <n v="39.451999999999998"/>
    <n v="39.451999999999998"/>
    <n v="39.451999999999998"/>
    <n v="39.451999999999998"/>
    <m/>
    <n v="897.25"/>
    <n v="207.07"/>
    <m/>
    <n v="43567.632639999996"/>
    <n v="43567.632639999996"/>
    <n v="43699.796839999995"/>
    <n v="0"/>
    <n v="3107.2494680867753"/>
    <n v="0"/>
    <n v="0"/>
    <n v="0"/>
    <n v="7872.5347433739653"/>
    <n v="22633.426501901176"/>
    <n v="8169.5217254977451"/>
    <n v="0"/>
    <n v="0"/>
    <n v="0"/>
    <n v="0"/>
    <n v="0"/>
    <n v="394.87229219083389"/>
    <m/>
    <n v="109.87186271584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0.230266743956"/>
    <n v="0"/>
    <n v="25.92"/>
    <n v="119.91"/>
    <n v="0"/>
    <n v="160"/>
    <m/>
    <m/>
    <m/>
    <m/>
    <m/>
    <n v="5243.9598400000004"/>
    <m/>
    <m/>
    <m/>
    <n v="9449.7519922417014"/>
    <m/>
    <m/>
    <m/>
    <m/>
    <m/>
    <m/>
    <m/>
    <m/>
    <m/>
    <m/>
    <m/>
    <m/>
    <n v="38453.887499999997"/>
    <n v="114.00937999999587"/>
    <m/>
    <m/>
    <m/>
    <m/>
    <n v="-1178.4312400000001"/>
    <n v="1310.5954399999998"/>
    <n v="31"/>
    <n v="2927.6981884898087"/>
    <n v="0"/>
    <n v="0"/>
    <n v="0"/>
    <n v="0"/>
    <n v="0"/>
    <n v="0"/>
    <n v="0"/>
    <n v="1693.159660083068"/>
    <n v="0"/>
    <n v="0"/>
    <n v="1240.2030194374001"/>
    <n v="0"/>
    <n v="0"/>
    <n v="0"/>
    <n v="194.3498647461181"/>
    <n v="0"/>
    <n v="-170.66210578669552"/>
    <m/>
    <n v="0"/>
    <n v="0"/>
    <n v="0"/>
    <n v="0"/>
    <n v="-21.811566740849344"/>
    <n v="-7.5406832492340499"/>
    <n v="0"/>
    <n v="690.44158142793287"/>
    <m/>
    <m/>
    <m/>
    <n v="22633.426501901176"/>
    <n v="0"/>
    <n v="0"/>
    <n v="-1178.4312400000053"/>
    <n v="1310.595440000001"/>
    <n v="0"/>
    <n v="0"/>
    <n v="-3485.941922665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9.7000000000000003E-2"/>
    <n v="-9.7000000000000003E-2"/>
    <n v="-9.7000000000000003E-2"/>
    <n v="-9.7000000000000003E-2"/>
    <m/>
    <n v="897.25"/>
    <n v="207.07"/>
    <m/>
    <n v="-107.11904000000001"/>
    <n v="-107.11904000000001"/>
    <n v="-107.44399000000001"/>
    <n v="0"/>
    <n v="-7.6397444592014914"/>
    <n v="0"/>
    <n v="0"/>
    <n v="0"/>
    <n v="-19.356074979906587"/>
    <n v="-55.648442935324297"/>
    <n v="-20.086272112270134"/>
    <n v="0"/>
    <n v="0"/>
    <n v="0"/>
    <n v="0"/>
    <n v="0"/>
    <n v="-0.97086617516249851"/>
    <m/>
    <n v="-0.27014018765681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476816352571162"/>
    <n v="0"/>
    <n v="0"/>
    <n v="0"/>
    <n v="0"/>
    <n v="0"/>
    <m/>
    <m/>
    <m/>
    <m/>
    <m/>
    <n v="-12.893240000000002"/>
    <m/>
    <m/>
    <m/>
    <n v="-23.233953747527249"/>
    <m/>
    <m/>
    <m/>
    <m/>
    <m/>
    <m/>
    <m/>
    <m/>
    <m/>
    <m/>
    <m/>
    <m/>
    <n v="-97.474999999999994"/>
    <n v="-3.2394299999999987"/>
    <m/>
    <m/>
    <m/>
    <m/>
    <n v="2.8973900000000006"/>
    <n v="-3.22234"/>
    <n v="31"/>
    <n v="-7.1982846061926224"/>
    <n v="0"/>
    <n v="0"/>
    <n v="0"/>
    <n v="0"/>
    <n v="0"/>
    <n v="0"/>
    <n v="0"/>
    <n v="-4.1629445155646749"/>
    <n v="0"/>
    <n v="0"/>
    <n v="-3.0492672839254773"/>
    <n v="0"/>
    <n v="0"/>
    <n v="0"/>
    <n v="-0.47784489709960054"/>
    <n v="0"/>
    <n v="0.41960418385150255"/>
    <m/>
    <n v="0"/>
    <n v="0"/>
    <n v="0"/>
    <n v="0"/>
    <n v="5.3627749514914003E-2"/>
    <n v="1.8540157030713322E-2"/>
    <n v="0"/>
    <n v="-1.6975776487506207"/>
    <m/>
    <m/>
    <m/>
    <n v="-55.648442935324297"/>
    <n v="0"/>
    <n v="0"/>
    <n v="2.8973900000000015"/>
    <n v="-3.2223399999999991"/>
    <n v="0"/>
    <n v="0"/>
    <n v="8.570829526984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0.56000000000000005"/>
    <n v="0.56000000000000005"/>
    <n v="0.56000000000000005"/>
    <n v="0.56000000000000005"/>
    <m/>
    <n v="897.25"/>
    <n v="207.07"/>
    <m/>
    <n v="618.41920000000005"/>
    <n v="618.41920000000005"/>
    <n v="620.29520000000002"/>
    <n v="0"/>
    <n v="44.105741207761191"/>
    <n v="0"/>
    <n v="0"/>
    <n v="0"/>
    <n v="111.74641225513082"/>
    <n v="321.26936127609906"/>
    <n v="115.96198332856986"/>
    <n v="0"/>
    <n v="0"/>
    <n v="0"/>
    <n v="0"/>
    <n v="0"/>
    <n v="5.6050005988762805"/>
    <m/>
    <n v="1.5595722174001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72182636535929"/>
    <n v="0"/>
    <n v="0"/>
    <n v="0"/>
    <n v="0"/>
    <n v="5"/>
    <m/>
    <m/>
    <m/>
    <m/>
    <m/>
    <n v="74.435200000000023"/>
    <m/>
    <m/>
    <m/>
    <n v="134.13416596510578"/>
    <m/>
    <m/>
    <m/>
    <m/>
    <m/>
    <m/>
    <m/>
    <m/>
    <m/>
    <m/>
    <m/>
    <m/>
    <n v="545.86"/>
    <n v="1.6163999999999987"/>
    <m/>
    <m/>
    <m/>
    <m/>
    <n v="-16.727200000000003"/>
    <n v="18.603200000000001"/>
    <n v="31"/>
    <n v="41.557107004823365"/>
    <n v="0"/>
    <n v="0"/>
    <n v="0"/>
    <n v="0"/>
    <n v="0"/>
    <n v="0"/>
    <n v="0"/>
    <n v="24.033494110476482"/>
    <n v="0"/>
    <n v="0"/>
    <n v="17.604017309260485"/>
    <n v="0"/>
    <n v="0"/>
    <n v="0"/>
    <n v="2.7586921894409926"/>
    <n v="0"/>
    <n v="-2.4224571438849622"/>
    <m/>
    <n v="0"/>
    <n v="0"/>
    <n v="0"/>
    <n v="0"/>
    <n v="-0.30960350235414325"/>
    <n v="-0.10703595811545852"/>
    <n v="0"/>
    <n v="9.800448281446883"/>
    <m/>
    <m/>
    <m/>
    <n v="321.26936127609906"/>
    <n v="0"/>
    <n v="0"/>
    <n v="-16.727199999999982"/>
    <n v="18.603199999999987"/>
    <n v="0"/>
    <n v="0"/>
    <n v="-49.48107768155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.106000000000002"/>
    <n v="16.106000000000002"/>
    <n v="16.106000000000002"/>
    <n v="16.106000000000002"/>
    <m/>
    <n v="897.25"/>
    <n v="207.07"/>
    <m/>
    <n v="17786.177920000002"/>
    <n v="17786.177920000002"/>
    <n v="17840.133020000001"/>
    <n v="0"/>
    <n v="1268.5126212360744"/>
    <n v="0"/>
    <n v="0"/>
    <n v="0"/>
    <n v="3213.9066353234589"/>
    <n v="9239.9363084158067"/>
    <n v="3335.1494705177611"/>
    <n v="0"/>
    <n v="0"/>
    <n v="0"/>
    <n v="0"/>
    <n v="0"/>
    <n v="161.20382079553818"/>
    <m/>
    <n v="44.854410952583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644952757228"/>
    <n v="0"/>
    <n v="130.53"/>
    <n v="602.97"/>
    <n v="0"/>
    <n v="33"/>
    <m/>
    <m/>
    <m/>
    <m/>
    <m/>
    <m/>
    <m/>
    <m/>
    <m/>
    <n v="3857.7944232749892"/>
    <m/>
    <m/>
    <m/>
    <m/>
    <m/>
    <m/>
    <m/>
    <m/>
    <m/>
    <m/>
    <m/>
    <m/>
    <n v="17844.563699999999"/>
    <n v="58.355779999998049"/>
    <m/>
    <m/>
    <m/>
    <m/>
    <n v="-481.08622000000014"/>
    <n v="535.04132000000004"/>
    <n v="31"/>
    <n v="1195.2120811065834"/>
    <n v="0"/>
    <n v="0"/>
    <n v="0"/>
    <n v="0"/>
    <n v="0"/>
    <n v="0"/>
    <n v="0"/>
    <n v="691.22045739881105"/>
    <n v="0"/>
    <n v="0"/>
    <n v="506.30411211240926"/>
    <n v="0"/>
    <n v="0"/>
    <n v="0"/>
    <n v="79.341957862744039"/>
    <n v="0"/>
    <n v="-69.671597784662708"/>
    <m/>
    <n v="0"/>
    <n v="0"/>
    <n v="0"/>
    <n v="0"/>
    <n v="-8.9044178730639771"/>
    <n v="-3.0784306096563867"/>
    <n v="0"/>
    <n v="281.86789289461342"/>
    <m/>
    <m/>
    <m/>
    <n v="9239.9363084158067"/>
    <n v="0"/>
    <n v="0"/>
    <n v="-481.08622000000105"/>
    <n v="535.04131999999981"/>
    <n v="0"/>
    <n v="0"/>
    <n v="-1423.111137748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7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84.49299999999999"/>
    <n v="284.49299999999999"/>
    <n v="284.49299999999999"/>
    <n v="284.49299999999999"/>
    <m/>
    <n v="493.49"/>
    <n v="113.89"/>
    <m/>
    <n v="172795.35833999998"/>
    <n v="172795.35833999998"/>
    <n v="173318.82545999999"/>
    <n v="0"/>
    <n v="12323.707229251389"/>
    <n v="0"/>
    <n v="0"/>
    <n v="0"/>
    <n v="31223.374346311513"/>
    <n v="89766.761461851303"/>
    <n v="32401.258728039567"/>
    <n v="0"/>
    <n v="0"/>
    <n v="0"/>
    <n v="0"/>
    <n v="0"/>
    <n v="1566.1087311729632"/>
    <m/>
    <n v="435.7643899368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7.5398484800107"/>
    <n v="0"/>
    <n v="1351.41"/>
    <n v="6237.35"/>
    <n v="0"/>
    <n v="3"/>
    <m/>
    <m/>
    <m/>
    <m/>
    <m/>
    <m/>
    <m/>
    <m/>
    <m/>
    <n v="37478.798576519577"/>
    <m/>
    <m/>
    <m/>
    <m/>
    <m/>
    <m/>
    <m/>
    <m/>
    <m/>
    <m/>
    <m/>
    <m/>
    <n v="173316.99780000001"/>
    <n v="521.60946000000695"/>
    <m/>
    <m/>
    <m/>
    <m/>
    <n v="-4674.2199900000014"/>
    <n v="5197.6871099999989"/>
    <n v="31"/>
    <n v="11611.586292352964"/>
    <n v="0"/>
    <n v="0"/>
    <n v="0"/>
    <n v="0"/>
    <n v="0"/>
    <n v="0"/>
    <n v="0"/>
    <n v="6715.2651106864614"/>
    <n v="0"/>
    <n v="0"/>
    <n v="4918.7872017854097"/>
    <n v="0"/>
    <n v="0"/>
    <n v="0"/>
    <n v="770.81382031760131"/>
    <n v="0"/>
    <n v="-676.8654555882058"/>
    <m/>
    <n v="0"/>
    <n v="0"/>
    <n v="0"/>
    <n v="0"/>
    <n v="-86.50717153103551"/>
    <n v="-29.907213317281617"/>
    <n v="0"/>
    <n v="2738.370380559857"/>
    <m/>
    <m/>
    <m/>
    <n v="89766.761461851303"/>
    <n v="0"/>
    <n v="0"/>
    <n v="-4674.2199899999832"/>
    <n v="5197.6871099999989"/>
    <n v="0"/>
    <n v="0"/>
    <n v="-13825.644871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8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4.198"/>
    <n v="13.346120000000001"/>
    <n v="14.198"/>
    <n v="13.346120000000001"/>
    <m/>
    <n v="897.25"/>
    <n v="207.07"/>
    <m/>
    <n v="15679.13536"/>
    <n v="15679.13536"/>
    <n v="15726.698660000002"/>
    <n v="0"/>
    <n v="1118.2380601210596"/>
    <n v="0"/>
    <n v="0"/>
    <n v="0"/>
    <n v="2833.1706449970488"/>
    <n v="8145.3256989250967"/>
    <n v="2940.0504273197048"/>
    <n v="0"/>
    <n v="0"/>
    <n v="0"/>
    <n v="0"/>
    <n v="0"/>
    <n v="142.10678304079539"/>
    <m/>
    <n v="39.540725611870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72973048845915"/>
    <n v="0"/>
    <n v="9.6999999999999993"/>
    <n v="44.78"/>
    <n v="0"/>
    <n v="3"/>
    <m/>
    <m/>
    <m/>
    <m/>
    <n v="943.60191959999941"/>
    <m/>
    <m/>
    <m/>
    <m/>
    <n v="3400.7801578081639"/>
    <m/>
    <m/>
    <m/>
    <m/>
    <m/>
    <m/>
    <m/>
    <m/>
    <m/>
    <m/>
    <m/>
    <m/>
    <n v="14787.394499999999"/>
    <n v="48.977261599995472"/>
    <m/>
    <m/>
    <m/>
    <m/>
    <n v="-424.09426000000008"/>
    <n v="471.65755999999999"/>
    <n v="31"/>
    <n v="1053.6210808115748"/>
    <n v="0"/>
    <n v="0"/>
    <n v="0"/>
    <n v="0"/>
    <n v="0"/>
    <n v="0"/>
    <n v="0"/>
    <n v="609.33490960811605"/>
    <n v="0"/>
    <n v="0"/>
    <n v="446.32471028014334"/>
    <n v="0"/>
    <n v="0"/>
    <n v="0"/>
    <n v="69.942699474434335"/>
    <n v="0"/>
    <n v="-61.41794023014063"/>
    <m/>
    <n v="0"/>
    <n v="0"/>
    <n v="0"/>
    <n v="0"/>
    <n v="-7.8495545114716379"/>
    <n v="-2.713743809505857"/>
    <n v="0"/>
    <n v="248.47636553568367"/>
    <m/>
    <m/>
    <m/>
    <n v="8145.3256989250967"/>
    <n v="0"/>
    <n v="0"/>
    <n v="-424.09425999999985"/>
    <n v="471.6575600000001"/>
    <n v="0"/>
    <n v="0"/>
    <n v="-1254.522037362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9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.643"/>
    <n v="1.5444199999999999"/>
    <n v="1.643"/>
    <n v="1.5444199999999999"/>
    <m/>
    <n v="4750.8599999999997"/>
    <n v="207.07"/>
    <m/>
    <n v="8145.8789899999992"/>
    <n v="8145.8789899999992"/>
    <n v="7935.6407100000006"/>
    <n v="0"/>
    <n v="112.58069203533188"/>
    <n v="0"/>
    <n v="0"/>
    <n v="0"/>
    <n v="2115.0955288129362"/>
    <n v="5535.8482583182695"/>
    <n v="340.22417608721474"/>
    <n v="0"/>
    <n v="0"/>
    <n v="0"/>
    <n v="0"/>
    <n v="0"/>
    <n v="16.444671399917372"/>
    <m/>
    <n v="2.9727442301389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20077683136921"/>
    <n v="0"/>
    <n v="0"/>
    <n v="0"/>
    <n v="0"/>
    <n v="0"/>
    <m/>
    <m/>
    <m/>
    <m/>
    <n v="476.13844260000053"/>
    <m/>
    <m/>
    <m/>
    <m/>
    <n v="362.94425377035168"/>
    <m/>
    <m/>
    <m/>
    <m/>
    <m/>
    <m/>
    <m/>
    <m/>
    <m/>
    <m/>
    <m/>
    <m/>
    <n v="7438.1538"/>
    <n v="-219.00245059999907"/>
    <m/>
    <m/>
    <m/>
    <m/>
    <n v="-264.81873999999897"/>
    <n v="54.580460000000002"/>
    <n v="31"/>
    <n v="502.69953956537074"/>
    <n v="0"/>
    <n v="0"/>
    <n v="0"/>
    <n v="0"/>
    <n v="0"/>
    <n v="0"/>
    <n v="0"/>
    <n v="454.89725270788813"/>
    <n v="0"/>
    <n v="0"/>
    <n v="51.648929355562416"/>
    <n v="0"/>
    <n v="0"/>
    <n v="0"/>
    <n v="3.4491014151459076"/>
    <n v="0"/>
    <n v="-6.183365117929597"/>
    <m/>
    <n v="0"/>
    <n v="0"/>
    <n v="0"/>
    <n v="0"/>
    <n v="-0.90835456137117276"/>
    <n v="-0.20402423392456948"/>
    <n v="0"/>
    <n v="139.67856610752017"/>
    <m/>
    <m/>
    <m/>
    <n v="5535.8482583182695"/>
    <n v="0"/>
    <n v="0"/>
    <n v="-264.8187399999988"/>
    <n v="54.580460000000016"/>
    <n v="0"/>
    <n v="0"/>
    <n v="-852.6170582066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17.623999999999999"/>
    <n v="16.566559999999999"/>
    <n v="17.623999999999999"/>
    <n v="16.566559999999999"/>
    <m/>
    <n v="94.17"/>
    <n v="207.07"/>
    <m/>
    <n v="5309.0537599999989"/>
    <n v="5309.0537599999989"/>
    <n v="5882.3624799999998"/>
    <n v="0"/>
    <n v="1207.6214950886726"/>
    <n v="0"/>
    <n v="0"/>
    <n v="0"/>
    <n v="0"/>
    <n v="0"/>
    <n v="3649.4892753262766"/>
    <n v="0"/>
    <n v="0"/>
    <n v="0"/>
    <n v="0"/>
    <n v="0"/>
    <n v="176.39737599034919"/>
    <m/>
    <n v="31.88779325135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71189840998483"/>
    <n v="0"/>
    <n v="0"/>
    <n v="0"/>
    <n v="0"/>
    <n v="0"/>
    <m/>
    <m/>
    <m/>
    <m/>
    <n v="352.94174879999991"/>
    <m/>
    <m/>
    <m/>
    <m/>
    <n v="3893.2011737362614"/>
    <m/>
    <m/>
    <m/>
    <m/>
    <m/>
    <m/>
    <m/>
    <m/>
    <m/>
    <m/>
    <m/>
    <m/>
    <n v="5530.5689000000002"/>
    <n v="540.02836560000014"/>
    <m/>
    <m/>
    <m/>
    <m/>
    <n v="-12.160559999999959"/>
    <n v="585.46927999999991"/>
    <n v="31"/>
    <n v="512.76171854916538"/>
    <n v="0"/>
    <n v="0"/>
    <n v="0"/>
    <n v="0"/>
    <n v="0"/>
    <n v="0"/>
    <n v="0"/>
    <n v="0"/>
    <n v="0"/>
    <n v="0"/>
    <n v="554.02357331858275"/>
    <n v="0"/>
    <n v="0"/>
    <n v="0"/>
    <n v="36.997543116574207"/>
    <n v="0"/>
    <n v="-66.327222664876217"/>
    <m/>
    <n v="0"/>
    <n v="0"/>
    <n v="0"/>
    <n v="0"/>
    <n v="-9.7436645098024997"/>
    <n v="-2.1885107113126097"/>
    <n v="0"/>
    <n v="60.47189042760732"/>
    <m/>
    <m/>
    <m/>
    <n v="0"/>
    <n v="0"/>
    <n v="0"/>
    <n v="-12.160559999999805"/>
    <n v="585.4692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1"/>
    <s v="Regular"/>
    <s v="Verde"/>
    <s v="A4"/>
    <s v="Serviço público"/>
    <s v="Água, esgoto e saneamento"/>
    <s v="Não se aplica"/>
    <s v="Não se aplica"/>
    <s v="Não se aplica"/>
    <s v="CATIVO"/>
    <x v="4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7.33"/>
    <n v="587.67999999999995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2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2000000000000001E-2"/>
    <n v="3.2000000000000001E-2"/>
    <n v="3.2000000000000001E-2"/>
    <n v="3.2000000000000001E-2"/>
    <m/>
    <n v="897.25"/>
    <n v="207.07"/>
    <m/>
    <n v="35.338239999999999"/>
    <n v="35.338239999999999"/>
    <n v="35.445440000000005"/>
    <n v="0"/>
    <n v="2.520328069014925"/>
    <n v="0"/>
    <n v="0"/>
    <n v="0"/>
    <n v="6.3855092717217605"/>
    <n v="18.358249215777086"/>
    <n v="6.6263990473468484"/>
    <n v="0"/>
    <n v="0"/>
    <n v="0"/>
    <n v="0"/>
    <n v="0"/>
    <n v="0.32028574850721603"/>
    <m/>
    <n v="8.91184124228656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84104363734816"/>
    <n v="0"/>
    <n v="0.25"/>
    <n v="1.2"/>
    <n v="0"/>
    <n v="1"/>
    <m/>
    <m/>
    <m/>
    <m/>
    <m/>
    <m/>
    <m/>
    <m/>
    <m/>
    <n v="7.6648094837203296"/>
    <m/>
    <m/>
    <m/>
    <m/>
    <m/>
    <m/>
    <m/>
    <m/>
    <m/>
    <m/>
    <m/>
    <m/>
    <n v="33.2301"/>
    <n v="-2.1381399999999999"/>
    <m/>
    <m/>
    <m/>
    <m/>
    <n v="-0.95584000000000013"/>
    <n v="1.06304"/>
    <n v="31"/>
    <n v="2.3746918288470518"/>
    <n v="0"/>
    <n v="0"/>
    <n v="0"/>
    <n v="0"/>
    <n v="0"/>
    <n v="0"/>
    <n v="0"/>
    <n v="1.3733425205986558"/>
    <n v="0"/>
    <n v="0"/>
    <n v="1.005943846243456"/>
    <n v="0"/>
    <n v="0"/>
    <n v="0"/>
    <n v="0.1576395536823425"/>
    <n v="0"/>
    <n v="-0.13842612250771191"/>
    <m/>
    <n v="0"/>
    <n v="0"/>
    <n v="0"/>
    <n v="0"/>
    <n v="-1.7691628705951035E-2"/>
    <n v="-6.1163404637404883E-3"/>
    <n v="0"/>
    <n v="0.56002561608267898"/>
    <m/>
    <m/>
    <m/>
    <n v="18.358249215777086"/>
    <n v="0"/>
    <n v="0"/>
    <n v="-0.95583999999999847"/>
    <n v="1.06304"/>
    <n v="0"/>
    <n v="0"/>
    <n v="-2.8274901532319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3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14"/>
    <s v="Regular"/>
    <s v="Convencional"/>
    <s v="B2"/>
    <s v="Rural"/>
    <s v="Agropecuária rural"/>
    <s v="IRRIG./AQUIC."/>
    <s v="Não se aplica"/>
    <s v="Não se aplica"/>
    <s v="CATIVO"/>
    <x v="4"/>
    <n v="0"/>
    <n v="0"/>
    <n v="1.0289999999999999"/>
    <n v="1.0289999999999999"/>
    <n v="1.0289999999999999"/>
    <n v="1.0289999999999999"/>
    <m/>
    <n v="897.25"/>
    <n v="207.07"/>
    <m/>
    <n v="1136.34528"/>
    <n v="1136.34528"/>
    <n v="1139.79243"/>
    <n v="0"/>
    <n v="81.044299469261176"/>
    <n v="0"/>
    <n v="0"/>
    <n v="0"/>
    <n v="205.33403251880284"/>
    <n v="590.33245134483184"/>
    <n v="213.08014436624708"/>
    <n v="0"/>
    <n v="0"/>
    <n v="0"/>
    <n v="0"/>
    <n v="0"/>
    <n v="10.299188600435164"/>
    <m/>
    <n v="2.8657139494727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91385594634762"/>
    <n v="0"/>
    <n v="0"/>
    <n v="0"/>
    <n v="0"/>
    <n v="0"/>
    <m/>
    <m/>
    <m/>
    <m/>
    <m/>
    <n v="136.77468000000002"/>
    <m/>
    <m/>
    <m/>
    <n v="246.47152996088184"/>
    <m/>
    <m/>
    <m/>
    <m/>
    <m/>
    <m/>
    <m/>
    <m/>
    <m/>
    <m/>
    <m/>
    <m/>
    <n v="1003.9924999999999"/>
    <n v="3.9700100000001157"/>
    <m/>
    <m/>
    <m/>
    <m/>
    <n v="-30.736230000000003"/>
    <n v="34.183379999999993"/>
    <n v="31"/>
    <n v="76.36118412136284"/>
    <n v="0"/>
    <n v="0"/>
    <n v="0"/>
    <n v="0"/>
    <n v="0"/>
    <n v="0"/>
    <n v="0"/>
    <n v="44.161545428000522"/>
    <n v="0"/>
    <n v="0"/>
    <n v="32.347381805766105"/>
    <n v="0"/>
    <n v="0"/>
    <n v="0"/>
    <n v="5.0690968980978255"/>
    <n v="0"/>
    <n v="-4.4512650018886148"/>
    <m/>
    <n v="0"/>
    <n v="0"/>
    <n v="0"/>
    <n v="0"/>
    <n v="-0.56889643557573777"/>
    <n v="-0.19667857303715497"/>
    <n v="0"/>
    <n v="18.008323717158646"/>
    <m/>
    <m/>
    <m/>
    <n v="590.33245134483184"/>
    <n v="0"/>
    <n v="0"/>
    <n v="-30.736229999999978"/>
    <n v="34.18338"/>
    <n v="0"/>
    <n v="0"/>
    <n v="-90.92148023986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23799999999999999"/>
    <n v="9.5200000000000007E-2"/>
    <n v="0.23799999999999999"/>
    <n v="9.5200000000000007E-2"/>
    <m/>
    <n v="897.25"/>
    <n v="207.07"/>
    <m/>
    <n v="262.82816000000003"/>
    <n v="262.82816000000003"/>
    <n v="263.62545999999998"/>
    <n v="0"/>
    <n v="18.744940013298503"/>
    <n v="0"/>
    <n v="0"/>
    <n v="0"/>
    <n v="47.49222520843059"/>
    <n v="136.53947854234207"/>
    <n v="49.283842914642186"/>
    <n v="0"/>
    <n v="0"/>
    <n v="0"/>
    <n v="0"/>
    <n v="0"/>
    <n v="2.382125254522419"/>
    <m/>
    <n v="0.6628181923950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231776205277693"/>
    <n v="0"/>
    <n v="0"/>
    <n v="0"/>
    <n v="0"/>
    <n v="0"/>
    <m/>
    <m/>
    <m/>
    <m/>
    <m/>
    <m/>
    <n v="170.82925999999998"/>
    <m/>
    <m/>
    <n v="57.007020535169957"/>
    <m/>
    <m/>
    <m/>
    <m/>
    <m/>
    <m/>
    <m/>
    <m/>
    <m/>
    <m/>
    <m/>
    <m/>
    <n v="97.474999999999994"/>
    <n v="4.9286879999999655"/>
    <m/>
    <m/>
    <m/>
    <m/>
    <n v="-7.1090600000000004"/>
    <n v="7.9063599999999994"/>
    <n v="31"/>
    <n v="17.661770477049927"/>
    <n v="0"/>
    <n v="0"/>
    <n v="0"/>
    <n v="0"/>
    <n v="0"/>
    <n v="0"/>
    <n v="0"/>
    <n v="10.214234996952506"/>
    <n v="0"/>
    <n v="0"/>
    <n v="7.4817073564356988"/>
    <n v="0"/>
    <n v="0"/>
    <n v="0"/>
    <n v="1.1724441805124215"/>
    <n v="0"/>
    <n v="-1.0295442861511077"/>
    <m/>
    <n v="0"/>
    <n v="0"/>
    <n v="0"/>
    <n v="0"/>
    <n v="-0.13158148850051088"/>
    <n v="-4.5490282199069809E-2"/>
    <n v="0"/>
    <n v="4.1651905196149253"/>
    <m/>
    <m/>
    <m/>
    <n v="136.53947854234207"/>
    <n v="0"/>
    <n v="0"/>
    <n v="-7.1090600000000279"/>
    <n v="7.9063599999999994"/>
    <n v="0"/>
    <n v="0"/>
    <n v="-21.02945801466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6"/>
    <s v="Regular"/>
    <s v="Verde"/>
    <s v="A4"/>
    <s v="Rural"/>
    <s v="Agropecuária rural"/>
    <s v="Não se aplica"/>
    <s v="Não se aplica"/>
    <s v="Ponta"/>
    <s v="CATIVO"/>
    <x v="4"/>
    <n v="0"/>
    <n v="0"/>
    <n v="0.45700000000000002"/>
    <n v="0.43872"/>
    <n v="0.45700000000000002"/>
    <n v="0.43872"/>
    <m/>
    <n v="4750.8599999999997"/>
    <n v="207.07"/>
    <m/>
    <n v="2265.7740100000001"/>
    <n v="2265.7740100000001"/>
    <n v="2207.2962900000002"/>
    <n v="0"/>
    <n v="31.314288654988847"/>
    <n v="0"/>
    <n v="0"/>
    <n v="0"/>
    <n v="588.31324203743873"/>
    <n v="1539.7946768420263"/>
    <n v="94.633261394922187"/>
    <n v="0"/>
    <n v="0"/>
    <n v="0"/>
    <n v="0"/>
    <n v="0"/>
    <n v="4.5740808458686786"/>
    <m/>
    <n v="0.82686799341052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1958338478002"/>
    <n v="0"/>
    <n v="0"/>
    <n v="0"/>
    <n v="0"/>
    <n v="0"/>
    <m/>
    <m/>
    <m/>
    <m/>
    <m/>
    <n v="88.291851600000086"/>
    <m/>
    <m/>
    <m/>
    <n v="100.9528447797022"/>
    <m/>
    <m/>
    <m/>
    <m/>
    <m/>
    <m/>
    <m/>
    <m/>
    <m/>
    <m/>
    <m/>
    <m/>
    <n v="2125.1868000000004"/>
    <n v="-49.986249600000065"/>
    <m/>
    <m/>
    <m/>
    <m/>
    <n v="-73.659259999999719"/>
    <n v="15.18154"/>
    <n v="31"/>
    <n v="139.8257392461195"/>
    <n v="0"/>
    <n v="0"/>
    <n v="0"/>
    <n v="0"/>
    <n v="0"/>
    <n v="0"/>
    <n v="0"/>
    <n v="126.52954624924212"/>
    <n v="0"/>
    <n v="0"/>
    <n v="14.366135554164345"/>
    <n v="0"/>
    <n v="0"/>
    <n v="0"/>
    <n v="0.95936661395111322"/>
    <n v="0"/>
    <n v="-1.719901313995031"/>
    <m/>
    <n v="0"/>
    <n v="0"/>
    <n v="0"/>
    <n v="0"/>
    <n v="-0.25265857245686263"/>
    <n v="-5.6749284786079324E-2"/>
    <n v="0"/>
    <n v="38.85155490635222"/>
    <m/>
    <m/>
    <m/>
    <n v="1539.7946768420263"/>
    <n v="0"/>
    <n v="0"/>
    <n v="-73.659259999999904"/>
    <n v="15.181539999999998"/>
    <n v="0"/>
    <n v="0"/>
    <n v="-237.1552012175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7"/>
    <s v="Regular"/>
    <s v="Verde"/>
    <s v="A4"/>
    <s v="Rural"/>
    <s v="Agropecuária rural"/>
    <s v="Não se aplica"/>
    <s v="Não se aplica"/>
    <s v="Fora ponta"/>
    <s v="CATIVO"/>
    <x v="4"/>
    <n v="0"/>
    <n v="0"/>
    <n v="25.484999999999999"/>
    <n v="24.465599999999998"/>
    <n v="25.484999999999999"/>
    <n v="24.465599999999998"/>
    <m/>
    <n v="94.17"/>
    <n v="207.07"/>
    <m/>
    <n v="7677.1013999999996"/>
    <n v="7677.1013999999996"/>
    <n v="8506.1284500000002"/>
    <n v="0"/>
    <n v="1746.2683728061065"/>
    <n v="0"/>
    <n v="0"/>
    <n v="0"/>
    <n v="0"/>
    <n v="0"/>
    <n v="5277.305616301076"/>
    <n v="0"/>
    <n v="0"/>
    <n v="0"/>
    <n v="0"/>
    <n v="0"/>
    <n v="255.07757189707499"/>
    <m/>
    <n v="46.111008341503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4170296742206"/>
    <n v="0"/>
    <n v="0"/>
    <n v="0"/>
    <n v="0"/>
    <n v="0"/>
    <m/>
    <m/>
    <m/>
    <m/>
    <m/>
    <n v="340.24513800000034"/>
    <m/>
    <m/>
    <m/>
    <n v="5629.7226459752965"/>
    <m/>
    <m/>
    <m/>
    <m/>
    <m/>
    <m/>
    <m/>
    <m/>
    <m/>
    <m/>
    <m/>
    <m/>
    <n v="8167.3518999999997"/>
    <n v="797.30455600000005"/>
    <m/>
    <m/>
    <m/>
    <m/>
    <n v="-17.584649999999943"/>
    <n v="846.61169999999993"/>
    <n v="31"/>
    <n v="741.47369480398811"/>
    <n v="0"/>
    <n v="0"/>
    <n v="0"/>
    <n v="0"/>
    <n v="0"/>
    <n v="0"/>
    <n v="0"/>
    <n v="0"/>
    <n v="0"/>
    <n v="0"/>
    <n v="801.13996629732719"/>
    <n v="0"/>
    <n v="0"/>
    <n v="0"/>
    <n v="53.49990843882739"/>
    <n v="0"/>
    <n v="-95.911783341713999"/>
    <m/>
    <n v="0"/>
    <n v="0"/>
    <n v="0"/>
    <n v="0"/>
    <n v="-14.089723674098792"/>
    <n v="-3.1646729163528065"/>
    <n v="0"/>
    <n v="87.444741690170929"/>
    <m/>
    <m/>
    <m/>
    <n v="0"/>
    <n v="0"/>
    <n v="0"/>
    <n v="-17.584649999999783"/>
    <n v="846.61170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Agropecuária rural"/>
    <s v="Não se aplica"/>
    <s v="Não se aplica"/>
    <s v="Não se aplica"/>
    <s v="CATIVO"/>
    <x v="4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1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9"/>
    <s v="Regular"/>
    <s v="Verde"/>
    <s v="A4"/>
    <s v="Rural"/>
    <s v="Agropecuária rural"/>
    <s v="IRRIG./AQUIC. PR"/>
    <s v="Não se aplica"/>
    <s v="Fora ponta"/>
    <s v="CATIVO"/>
    <x v="4"/>
    <n v="0"/>
    <n v="0"/>
    <n v="14.56"/>
    <n v="4.3680000000000003"/>
    <n v="14.56"/>
    <n v="4.3680000000000003"/>
    <m/>
    <n v="94.17"/>
    <n v="207.07"/>
    <m/>
    <n v="4386.0544"/>
    <n v="4386.0544"/>
    <n v="4859.6912000000002"/>
    <n v="0"/>
    <n v="997.67186611955708"/>
    <n v="0"/>
    <n v="0"/>
    <n v="0"/>
    <n v="0"/>
    <n v="0"/>
    <n v="3015.0115665428161"/>
    <n v="0"/>
    <n v="0"/>
    <n v="0"/>
    <n v="0"/>
    <n v="0"/>
    <n v="145.73001557078328"/>
    <m/>
    <n v="26.34397808327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34165007089081"/>
    <n v="0"/>
    <n v="0"/>
    <n v="0"/>
    <n v="0"/>
    <n v="0"/>
    <m/>
    <m/>
    <m/>
    <m/>
    <m/>
    <m/>
    <n v="3401.7838400000001"/>
    <m/>
    <m/>
    <n v="3216.353216613707"/>
    <m/>
    <m/>
    <m/>
    <m/>
    <m/>
    <m/>
    <m/>
    <m/>
    <m/>
    <m/>
    <m/>
    <m/>
    <n v="1458.5749000000001"/>
    <n v="142.72858000000019"/>
    <m/>
    <m/>
    <m/>
    <m/>
    <n v="-10.046399999999966"/>
    <n v="483.6832"/>
    <n v="31"/>
    <n v="423.61612699023317"/>
    <n v="0"/>
    <n v="0"/>
    <n v="0"/>
    <n v="0"/>
    <n v="0"/>
    <n v="0"/>
    <n v="0"/>
    <n v="0"/>
    <n v="0"/>
    <n v="0"/>
    <n v="457.70445004077237"/>
    <n v="0"/>
    <n v="0"/>
    <n v="0"/>
    <n v="30.565378335072666"/>
    <n v="0"/>
    <n v="-54.79598059467753"/>
    <m/>
    <n v="0"/>
    <n v="0"/>
    <n v="0"/>
    <n v="0"/>
    <n v="-8.0496910612077102"/>
    <n v="-1.808029729727167"/>
    <n v="0"/>
    <n v="49.958620326030562"/>
    <m/>
    <m/>
    <m/>
    <n v="0"/>
    <n v="0"/>
    <n v="0"/>
    <n v="-10.046399999999949"/>
    <n v="483.683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08"/>
    <n v="235.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4"/>
    <n v="0"/>
    <n v="0"/>
    <n v="5.8970000000000002"/>
    <n v="5.8970000000000002"/>
    <n v="5.8970000000000002"/>
    <n v="5.8970000000000002"/>
    <m/>
    <n v="897.25"/>
    <n v="207.07"/>
    <m/>
    <n v="6512.1750400000001"/>
    <n v="6512.1750400000001"/>
    <n v="6531.9299900000005"/>
    <n v="0"/>
    <n v="464.44920696815666"/>
    <n v="0"/>
    <n v="0"/>
    <n v="0"/>
    <n v="1176.7296304794756"/>
    <n v="3383.0811132949216"/>
    <n v="1221.1210994438864"/>
    <n v="0"/>
    <n v="0"/>
    <n v="0"/>
    <n v="0"/>
    <n v="0"/>
    <n v="59.022658092095398"/>
    <m/>
    <n v="16.422852439301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5957322795068"/>
    <n v="0"/>
    <n v="0"/>
    <n v="0"/>
    <n v="0"/>
    <n v="0"/>
    <m/>
    <m/>
    <m/>
    <m/>
    <m/>
    <n v="783.82924000000014"/>
    <m/>
    <m/>
    <m/>
    <n v="1412.4806726718371"/>
    <m/>
    <m/>
    <m/>
    <m/>
    <m/>
    <m/>
    <m/>
    <m/>
    <m/>
    <m/>
    <m/>
    <m/>
    <n v="5751.0249999999996"/>
    <n v="20.231429999998909"/>
    <m/>
    <m/>
    <m/>
    <m/>
    <n v="-176.14339000000004"/>
    <n v="195.89833999999999"/>
    <n v="31"/>
    <n v="437.61117858472107"/>
    <n v="0"/>
    <n v="0"/>
    <n v="0"/>
    <n v="0"/>
    <n v="0"/>
    <n v="0"/>
    <n v="0"/>
    <n v="253.08127637407119"/>
    <n v="0"/>
    <n v="0"/>
    <n v="185.37658941555196"/>
    <n v="0"/>
    <n v="0"/>
    <n v="0"/>
    <n v="29.05001400202417"/>
    <n v="0"/>
    <n v="-25.509338888374316"/>
    <m/>
    <n v="0"/>
    <n v="0"/>
    <n v="0"/>
    <n v="0"/>
    <n v="-3.2602354524685353"/>
    <n v="-1.1271268660836764"/>
    <n v="0"/>
    <n v="103.2022205637362"/>
    <m/>
    <m/>
    <m/>
    <n v="3383.0811132949216"/>
    <n v="0"/>
    <n v="0"/>
    <n v="-176.14339000000018"/>
    <n v="195.89833999999996"/>
    <n v="0"/>
    <n v="0"/>
    <n v="-521.05341980027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 PR"/>
    <s v="Não se aplica"/>
    <s v="Não se aplica"/>
    <s v="CATIVO"/>
    <x v="4"/>
    <n v="0"/>
    <n v="0"/>
    <n v="2.9569999999999999"/>
    <n v="1.1828000000000001"/>
    <n v="2.9569999999999999"/>
    <n v="1.1828000000000001"/>
    <m/>
    <n v="897.25"/>
    <n v="207.07"/>
    <m/>
    <n v="3265.4742399999996"/>
    <n v="3265.4742399999996"/>
    <n v="3275.3801899999999"/>
    <n v="0"/>
    <n v="232.89406562741038"/>
    <n v="0"/>
    <n v="0"/>
    <n v="0"/>
    <n v="590.06096614003889"/>
    <n v="1696.4169665954014"/>
    <n v="612.32068696889473"/>
    <n v="0"/>
    <n v="0"/>
    <n v="0"/>
    <n v="0"/>
    <n v="0"/>
    <n v="29.596404947994927"/>
    <m/>
    <n v="8.235098297950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55614386137029"/>
    <n v="0"/>
    <n v="0"/>
    <n v="0"/>
    <n v="0"/>
    <n v="0"/>
    <m/>
    <m/>
    <m/>
    <m/>
    <m/>
    <m/>
    <n v="2122.44589"/>
    <m/>
    <m/>
    <n v="708.27630135503182"/>
    <m/>
    <m/>
    <m/>
    <m/>
    <m/>
    <m/>
    <m/>
    <m/>
    <m/>
    <m/>
    <m/>
    <m/>
    <n v="1150.2049999999999"/>
    <n v="0.71813199999996868"/>
    <m/>
    <m/>
    <m/>
    <m/>
    <n v="-88.325590000000005"/>
    <n v="98.231539999999995"/>
    <n v="31"/>
    <n v="219.4363668093979"/>
    <n v="0"/>
    <n v="0"/>
    <n v="0"/>
    <n v="0"/>
    <n v="0"/>
    <n v="0"/>
    <n v="0"/>
    <n v="126.90543229406956"/>
    <n v="0"/>
    <n v="0"/>
    <n v="92.955498541934276"/>
    <n v="0"/>
    <n v="0"/>
    <n v="0"/>
    <n v="14.566880007458963"/>
    <n v="0"/>
    <n v="-12.791438882978269"/>
    <m/>
    <n v="0"/>
    <n v="0"/>
    <n v="0"/>
    <n v="0"/>
    <n v="-1.634817065109285"/>
    <n v="-0.56518808597751935"/>
    <n v="0"/>
    <n v="51.749867086140057"/>
    <m/>
    <m/>
    <m/>
    <n v="1696.4169665954014"/>
    <n v="0"/>
    <n v="0"/>
    <n v="-88.32558999999992"/>
    <n v="98.231539999999995"/>
    <n v="0"/>
    <n v="0"/>
    <n v="-261.2777619720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"/>
    <s v="Não se aplica"/>
    <s v="Não se aplica"/>
    <s v="Não se aplica"/>
    <s v="CATIVO"/>
    <x v="5"/>
    <n v="0"/>
    <n v="0"/>
    <n v="748.72400000000005"/>
    <n v="748.72400000000005"/>
    <n v="748.72400000000005"/>
    <n v="748.72400000000005"/>
    <m/>
    <n v="897.25"/>
    <n v="207.07"/>
    <m/>
    <n v="826830.88768000004"/>
    <n v="826830.88768000004"/>
    <n v="829339.11308000004"/>
    <n v="0"/>
    <n v="58969.691035785334"/>
    <n v="0"/>
    <n v="0"/>
    <n v="0"/>
    <n v="149405.75137376887"/>
    <n v="429539.43080729636"/>
    <n v="155042.0000101788"/>
    <n v="0"/>
    <n v="0"/>
    <n v="0"/>
    <n v="0"/>
    <n v="0"/>
    <n v="7493.9258364161506"/>
    <m/>
    <n v="2085.1591944655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96.337986353083"/>
    <n v="0"/>
    <n v="1367.5"/>
    <n v="6346.61"/>
    <n v="0"/>
    <n v="6235"/>
    <m/>
    <m/>
    <m/>
    <m/>
    <m/>
    <m/>
    <m/>
    <m/>
    <m/>
    <n v="179338.33799653189"/>
    <m/>
    <m/>
    <m/>
    <m/>
    <m/>
    <m/>
    <m/>
    <m/>
    <m/>
    <m/>
    <m/>
    <m/>
    <n v="829334.68240000005"/>
    <n v="2503.7647199999774"/>
    <m/>
    <m/>
    <m/>
    <m/>
    <n v="-22364.385880000005"/>
    <n v="24872.611280000001"/>
    <n v="30"/>
    <n v="55562.14890192746"/>
    <n v="0"/>
    <n v="0"/>
    <n v="0"/>
    <n v="0"/>
    <n v="0"/>
    <n v="0"/>
    <n v="0"/>
    <n v="32132.953293522121"/>
    <n v="0"/>
    <n v="0"/>
    <n v="23536.696885462035"/>
    <n v="0"/>
    <n v="0"/>
    <n v="0"/>
    <n v="3688.3911622268206"/>
    <n v="0"/>
    <n v="-3238.8425046395059"/>
    <m/>
    <n v="0"/>
    <n v="0"/>
    <n v="0"/>
    <n v="0"/>
    <n v="-413.9420941010776"/>
    <n v="-143.10784054292617"/>
    <n v="0"/>
    <n v="13103.269355496494"/>
    <m/>
    <m/>
    <m/>
    <n v="429539.43080729636"/>
    <n v="0"/>
    <n v="0"/>
    <n v="-22364.385880000074"/>
    <n v="24872.611279999983"/>
    <n v="0"/>
    <n v="0"/>
    <n v="-66156.55429651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8620000000000001"/>
    <n v="-1.8620000000000001"/>
    <n v="-1.8620000000000001"/>
    <n v="-1.8620000000000001"/>
    <m/>
    <n v="897.25"/>
    <n v="207.07"/>
    <m/>
    <n v="-2056.2438400000001"/>
    <n v="-2056.2438400000001"/>
    <n v="-2062.4815400000002"/>
    <n v="0"/>
    <n v="-146.65158951580597"/>
    <n v="0"/>
    <n v="0"/>
    <n v="0"/>
    <n v="-371.55682074830997"/>
    <n v="-1068.2206262430293"/>
    <n v="-385.57359456749475"/>
    <n v="0"/>
    <n v="0"/>
    <n v="0"/>
    <n v="0"/>
    <n v="0"/>
    <n v="-18.636626991263633"/>
    <m/>
    <n v="-5.1855776228554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0.422507266481965"/>
    <n v="0"/>
    <n v="-12.57"/>
    <n v="-58.02"/>
    <n v="0"/>
    <n v="0"/>
    <m/>
    <m/>
    <m/>
    <m/>
    <m/>
    <m/>
    <m/>
    <m/>
    <m/>
    <n v="-445.9961018339767"/>
    <m/>
    <m/>
    <m/>
    <m/>
    <m/>
    <m/>
    <m/>
    <m/>
    <m/>
    <m/>
    <m/>
    <m/>
    <n v="-2060.2662"/>
    <n v="-4.0523600000001352"/>
    <m/>
    <m/>
    <m/>
    <m/>
    <n v="55.617940000000011"/>
    <n v="-61.855640000000001"/>
    <n v="30"/>
    <n v="-138.17738079103765"/>
    <n v="0"/>
    <n v="0"/>
    <n v="0"/>
    <n v="0"/>
    <n v="0"/>
    <n v="0"/>
    <n v="0"/>
    <n v="-79.911367917334246"/>
    <n v="0"/>
    <n v="0"/>
    <n v="-58.533357553291069"/>
    <n v="0"/>
    <n v="0"/>
    <n v="0"/>
    <n v="-9.1726515298913043"/>
    <n v="0"/>
    <n v="8.0546700034174989"/>
    <m/>
    <n v="0"/>
    <n v="0"/>
    <n v="0"/>
    <n v="0"/>
    <n v="1.0294316453275272"/>
    <n v="0.35589456073389947"/>
    <n v="0"/>
    <n v="-32.586490535810889"/>
    <m/>
    <m/>
    <m/>
    <n v="-1068.2206262430293"/>
    <n v="0"/>
    <n v="0"/>
    <n v="55.61794000000009"/>
    <n v="-61.855639999999994"/>
    <n v="0"/>
    <n v="0"/>
    <n v="164.5245832911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4.1399999999999997"/>
    <n v="4.1399999999999997"/>
    <n v="4.1399999999999997"/>
    <n v="4.1399999999999997"/>
    <m/>
    <n v="897.25"/>
    <n v="207.07"/>
    <m/>
    <n v="4571.8847999999998"/>
    <n v="4571.8847999999998"/>
    <n v="4585.7537999999995"/>
    <n v="0"/>
    <n v="326.06744392880591"/>
    <n v="0"/>
    <n v="0"/>
    <n v="0"/>
    <n v="826.12526202900267"/>
    <n v="2375.0984922911603"/>
    <n v="857.29037675049847"/>
    <n v="0"/>
    <n v="0"/>
    <n v="0"/>
    <n v="0"/>
    <n v="0"/>
    <n v="41.436968713121068"/>
    <m/>
    <n v="11.529694607208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34435020581918"/>
    <n v="0"/>
    <n v="15.61"/>
    <n v="72.19"/>
    <n v="0"/>
    <n v="48"/>
    <m/>
    <m/>
    <m/>
    <m/>
    <m/>
    <m/>
    <m/>
    <m/>
    <m/>
    <n v="991.63472695631765"/>
    <m/>
    <m/>
    <m/>
    <m/>
    <m/>
    <m/>
    <m/>
    <m/>
    <m/>
    <m/>
    <m/>
    <m/>
    <n v="4585.7537999999995"/>
    <n v="13.838999999999032"/>
    <m/>
    <m/>
    <m/>
    <m/>
    <n v="-123.66180000000001"/>
    <n v="137.53079999999997"/>
    <n v="30"/>
    <n v="307.22575535708665"/>
    <n v="0"/>
    <n v="0"/>
    <n v="0"/>
    <n v="0"/>
    <n v="0"/>
    <n v="0"/>
    <n v="0"/>
    <n v="177.67618860245113"/>
    <n v="0"/>
    <n v="0"/>
    <n v="130.14398510774697"/>
    <n v="0"/>
    <n v="0"/>
    <n v="0"/>
    <n v="20.394617257653039"/>
    <n v="0"/>
    <n v="-17.908879599435295"/>
    <m/>
    <n v="0"/>
    <n v="0"/>
    <n v="0"/>
    <n v="0"/>
    <n v="-2.2888544638324149"/>
    <n v="-0.79130154749642578"/>
    <n v="0"/>
    <n v="72.453314080696586"/>
    <m/>
    <m/>
    <m/>
    <n v="2375.0984922911603"/>
    <n v="0"/>
    <n v="0"/>
    <n v="-123.66179999999986"/>
    <n v="137.5308"/>
    <n v="0"/>
    <n v="0"/>
    <n v="-365.8065385743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34"/>
    <n v="2.34"/>
    <n v="2.34"/>
    <n v="2.34"/>
    <m/>
    <n v="808.48"/>
    <n v="207.07"/>
    <m/>
    <n v="2376.3870000000002"/>
    <n v="2376.3870000000002"/>
    <n v="2391.9947999999999"/>
    <n v="0"/>
    <n v="0"/>
    <n v="0"/>
    <n v="0"/>
    <n v="0"/>
    <n v="466.94036549465369"/>
    <n v="1342.4469739036995"/>
    <n v="484.55543033723825"/>
    <n v="0"/>
    <n v="0"/>
    <n v="0"/>
    <n v="0"/>
    <n v="0"/>
    <n v="0"/>
    <m/>
    <n v="6.5167839084220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33763159810837"/>
    <n v="0"/>
    <n v="2.31"/>
    <n v="10.95"/>
    <n v="0"/>
    <n v="2"/>
    <m/>
    <m/>
    <m/>
    <m/>
    <m/>
    <m/>
    <m/>
    <n v="1554.7895999999998"/>
    <m/>
    <n v="560.48919349704909"/>
    <m/>
    <m/>
    <m/>
    <m/>
    <m/>
    <m/>
    <m/>
    <m/>
    <m/>
    <m/>
    <m/>
    <m/>
    <n v="837.20519999999999"/>
    <n v="5.4221999999999753"/>
    <m/>
    <m/>
    <m/>
    <m/>
    <n v="-62.127000000000159"/>
    <n v="77.734799999999993"/>
    <n v="30"/>
    <n v="185.06545054193953"/>
    <n v="0"/>
    <n v="0"/>
    <n v="0"/>
    <n v="0"/>
    <n v="0"/>
    <n v="0"/>
    <n v="0"/>
    <n v="100.42567181877672"/>
    <n v="0"/>
    <n v="0"/>
    <n v="73.559643756552646"/>
    <n v="0"/>
    <n v="0"/>
    <n v="0"/>
    <n v="11.527392363021292"/>
    <n v="0"/>
    <n v="0"/>
    <m/>
    <n v="0"/>
    <n v="0"/>
    <n v="0"/>
    <n v="0"/>
    <n v="0"/>
    <n v="-0.44725739641102358"/>
    <n v="0"/>
    <n v="37.312714991382755"/>
    <m/>
    <m/>
    <m/>
    <n v="1342.4469739036995"/>
    <n v="0"/>
    <n v="0"/>
    <n v="-62.12700000000018"/>
    <n v="77.734800000000007"/>
    <n v="0"/>
    <n v="0"/>
    <n v="-206.7602174550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.665"/>
    <n v="4.665"/>
    <n v="4.665"/>
    <n v="4.665"/>
    <m/>
    <n v="808.48"/>
    <n v="207.07"/>
    <m/>
    <n v="4737.5407500000001"/>
    <n v="4737.5407500000001"/>
    <n v="4768.6562999999996"/>
    <n v="0"/>
    <n v="0"/>
    <n v="0"/>
    <n v="0"/>
    <n v="0"/>
    <n v="930.88752351818789"/>
    <n v="2676.2885184875036"/>
    <n v="966.00473612103281"/>
    <n v="0"/>
    <n v="0"/>
    <n v="0"/>
    <n v="0"/>
    <n v="0"/>
    <n v="0"/>
    <m/>
    <n v="12.991793561020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8077142757163"/>
    <n v="0"/>
    <n v="7.54"/>
    <n v="34.97"/>
    <n v="0"/>
    <n v="20"/>
    <m/>
    <m/>
    <m/>
    <m/>
    <m/>
    <m/>
    <m/>
    <n v="1907.4251999999997"/>
    <m/>
    <n v="1117.3855075486044"/>
    <m/>
    <m/>
    <m/>
    <m/>
    <m/>
    <m/>
    <m/>
    <m/>
    <m/>
    <m/>
    <m/>
    <m/>
    <n v="2864.2978000000003"/>
    <n v="21.743349999999737"/>
    <m/>
    <m/>
    <m/>
    <m/>
    <n v="-123.85575000000031"/>
    <n v="154.97129999999999"/>
    <n v="30"/>
    <n v="368.94458409322579"/>
    <n v="0"/>
    <n v="0"/>
    <n v="0"/>
    <n v="0"/>
    <n v="0"/>
    <n v="0"/>
    <n v="0"/>
    <n v="200.20758933102275"/>
    <n v="0"/>
    <n v="0"/>
    <n v="146.64775133517867"/>
    <n v="0"/>
    <n v="0"/>
    <n v="0"/>
    <n v="22.980891185253967"/>
    <n v="0"/>
    <n v="0"/>
    <m/>
    <n v="0"/>
    <n v="0"/>
    <n v="0"/>
    <n v="0"/>
    <n v="0"/>
    <n v="-0.89164775822966647"/>
    <n v="0"/>
    <n v="74.386245912307942"/>
    <m/>
    <m/>
    <m/>
    <n v="2676.2885184875036"/>
    <n v="0"/>
    <n v="0"/>
    <n v="-123.85575000000017"/>
    <n v="154.97129999999993"/>
    <n v="0"/>
    <n v="0"/>
    <n v="-412.1950489008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6970000000000001"/>
    <n v="2.6970000000000001"/>
    <n v="2.6970000000000001"/>
    <n v="2.6970000000000001"/>
    <m/>
    <n v="808.48"/>
    <n v="207.07"/>
    <m/>
    <n v="2738.9383500000004"/>
    <n v="2738.9383500000004"/>
    <n v="2756.9273400000002"/>
    <n v="0"/>
    <n v="0"/>
    <n v="0"/>
    <n v="0"/>
    <n v="0"/>
    <n v="538.17870330729966"/>
    <n v="1547.2561917172127"/>
    <n v="558.48119470920153"/>
    <n v="0"/>
    <n v="0"/>
    <n v="0"/>
    <n v="0"/>
    <n v="0"/>
    <n v="0"/>
    <m/>
    <n v="7.5110111970146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518529590602498"/>
    <n v="0"/>
    <n v="6.3"/>
    <n v="29.27"/>
    <n v="0"/>
    <n v="52"/>
    <m/>
    <m/>
    <m/>
    <m/>
    <m/>
    <m/>
    <m/>
    <n v="275.68733999999984"/>
    <m/>
    <n v="645.99972429980403"/>
    <m/>
    <m/>
    <m/>
    <m/>
    <m/>
    <m/>
    <m/>
    <m/>
    <m/>
    <m/>
    <m/>
    <m/>
    <n v="2484"/>
    <n v="18.911999999999807"/>
    <m/>
    <m/>
    <m/>
    <m/>
    <n v="-71.605350000000186"/>
    <n v="89.594340000000003"/>
    <n v="30"/>
    <n v="213.29979491949189"/>
    <n v="0"/>
    <n v="0"/>
    <n v="0"/>
    <n v="0"/>
    <n v="0"/>
    <n v="0"/>
    <n v="0"/>
    <n v="115.74702431420542"/>
    <n v="0"/>
    <n v="0"/>
    <n v="84.782204791206254"/>
    <n v="0"/>
    <n v="0"/>
    <n v="0"/>
    <n v="13.286058633789935"/>
    <n v="0"/>
    <n v="0"/>
    <m/>
    <n v="0"/>
    <n v="0"/>
    <n v="0"/>
    <n v="0"/>
    <n v="0"/>
    <n v="-0.51549281970962824"/>
    <n v="0"/>
    <n v="43.005295868273208"/>
    <m/>
    <m/>
    <m/>
    <n v="1547.2561917172127"/>
    <n v="0"/>
    <n v="0"/>
    <n v="-71.605350000000271"/>
    <n v="89.594339999999988"/>
    <n v="0"/>
    <n v="0"/>
    <n v="-238.30440447708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153"/>
    <n v="0.153"/>
    <n v="0.153"/>
    <n v="0.153"/>
    <m/>
    <n v="808.48"/>
    <n v="207.07"/>
    <m/>
    <n v="155.37915000000001"/>
    <n v="155.37915000000001"/>
    <n v="156.39965999999998"/>
    <n v="0"/>
    <n v="0"/>
    <n v="0"/>
    <n v="0"/>
    <n v="0"/>
    <n v="30.530716205419665"/>
    <n v="87.775379062934192"/>
    <n v="31.68247044512712"/>
    <n v="0"/>
    <n v="0"/>
    <n v="0"/>
    <n v="0"/>
    <n v="0"/>
    <n v="0"/>
    <m/>
    <n v="0.4260974093968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648998989107085"/>
    <n v="0"/>
    <n v="0"/>
    <n v="0"/>
    <n v="0"/>
    <n v="4"/>
    <m/>
    <m/>
    <m/>
    <m/>
    <m/>
    <m/>
    <m/>
    <m/>
    <m/>
    <n v="36.647370344037824"/>
    <m/>
    <m/>
    <m/>
    <m/>
    <m/>
    <m/>
    <m/>
    <m/>
    <m/>
    <m/>
    <m/>
    <m/>
    <n v="153.33299999999997"/>
    <n v="-2.076150000000041"/>
    <m/>
    <m/>
    <m/>
    <m/>
    <n v="-4.0621500000000106"/>
    <n v="5.0826599999999997"/>
    <n v="30"/>
    <n v="12.100433304665287"/>
    <n v="0"/>
    <n v="0"/>
    <n v="0"/>
    <n v="0"/>
    <n v="0"/>
    <n v="0"/>
    <n v="0"/>
    <n v="6.5662939266123246"/>
    <n v="0"/>
    <n v="0"/>
    <n v="4.8096690148515187"/>
    <n v="0"/>
    <n v="0"/>
    <n v="0"/>
    <n v="0.75371411604370042"/>
    <n v="0"/>
    <n v="0"/>
    <m/>
    <n v="0"/>
    <n v="0"/>
    <n v="0"/>
    <n v="0"/>
    <n v="0"/>
    <n v="-2.9243752842259219E-2"/>
    <n v="0"/>
    <n v="2.4396775186673341"/>
    <m/>
    <m/>
    <m/>
    <n v="87.775379062934192"/>
    <n v="0"/>
    <n v="0"/>
    <n v="-4.0621500000000168"/>
    <n v="5.0826600000000006"/>
    <n v="0"/>
    <n v="0"/>
    <n v="-13.5189372951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0"/>
    <s v="Regular"/>
    <s v="Branca"/>
    <s v="B1"/>
    <s v="Residencial"/>
    <s v="Residencial"/>
    <s v="Não se aplica"/>
    <s v="Não se aplica"/>
    <s v="Fora ponta"/>
    <s v="CATIVO"/>
    <x v="5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2"/>
    <n v="1.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32"/>
    <s v="Regular"/>
    <s v="Convencional"/>
    <s v="B3"/>
    <s v="Industrial"/>
    <s v="Não se aplica"/>
    <s v="Não se aplica"/>
    <s v="Não se aplica"/>
    <s v="Não se aplica"/>
    <s v="CATIVO"/>
    <x v="5"/>
    <n v="0"/>
    <n v="0"/>
    <n v="5.9859999999999998"/>
    <n v="5.9859999999999998"/>
    <n v="5.9859999999999998"/>
    <n v="5.9859999999999998"/>
    <m/>
    <n v="897.25"/>
    <n v="207.07"/>
    <m/>
    <n v="6610.4595200000003"/>
    <n v="6610.4595200000003"/>
    <n v="6630.5126199999995"/>
    <n v="0"/>
    <n v="471.4588694101044"/>
    <n v="0"/>
    <n v="0"/>
    <n v="0"/>
    <n v="1194.4893281414518"/>
    <n v="3434.139993926301"/>
    <n v="1239.5507717943199"/>
    <n v="0"/>
    <n v="0"/>
    <n v="0"/>
    <n v="0"/>
    <n v="0"/>
    <n v="59.913452830131092"/>
    <m/>
    <n v="16.670713023852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2476522541144"/>
    <n v="0"/>
    <n v="0"/>
    <n v="0"/>
    <n v="0"/>
    <n v="9"/>
    <m/>
    <m/>
    <m/>
    <m/>
    <m/>
    <m/>
    <m/>
    <m/>
    <m/>
    <n v="1433.7984240484343"/>
    <m/>
    <m/>
    <m/>
    <m/>
    <m/>
    <m/>
    <m/>
    <m/>
    <m/>
    <m/>
    <m/>
    <m/>
    <n v="6634.9432999999999"/>
    <n v="24.453779999998915"/>
    <m/>
    <m/>
    <m/>
    <m/>
    <n v="-178.80182000000002"/>
    <n v="198.85491999999999"/>
    <n v="30"/>
    <n v="444.21579023370168"/>
    <n v="0"/>
    <n v="0"/>
    <n v="0"/>
    <n v="0"/>
    <n v="0"/>
    <n v="0"/>
    <n v="0"/>
    <n v="256.90088525948613"/>
    <n v="0"/>
    <n v="0"/>
    <n v="188.17437073791621"/>
    <n v="0"/>
    <n v="0"/>
    <n v="0"/>
    <n v="29.488449010703192"/>
    <n v="0"/>
    <n v="-25.894336541598932"/>
    <m/>
    <n v="0"/>
    <n v="0"/>
    <n v="0"/>
    <n v="0"/>
    <n v="-3.3094402948069614"/>
    <n v="-1.1441379379984546"/>
    <n v="0"/>
    <n v="104.75979180846613"/>
    <m/>
    <m/>
    <m/>
    <n v="3434.139993926301"/>
    <n v="0"/>
    <n v="0"/>
    <n v="-178.80182000000059"/>
    <n v="198.85491999999999"/>
    <n v="0"/>
    <n v="0"/>
    <n v="-528.917376788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3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Ponta"/>
    <s v="CATIVO"/>
    <x v="5"/>
    <n v="0"/>
    <n v="0"/>
    <n v="1.0609999999999999"/>
    <n v="1.0609999999999999"/>
    <n v="1.0609999999999999"/>
    <n v="1.0609999999999999"/>
    <m/>
    <n v="4750.8599999999997"/>
    <n v="207.07"/>
    <m/>
    <n v="5260.3637299999991"/>
    <n v="5260.3637299999991"/>
    <n v="5124.5981700000002"/>
    <n v="0"/>
    <n v="72.701225958300128"/>
    <n v="0"/>
    <n v="0"/>
    <n v="0"/>
    <n v="1365.8650980344037"/>
    <n v="3574.8843591452733"/>
    <n v="219.70654341359392"/>
    <n v="0"/>
    <n v="0"/>
    <n v="0"/>
    <n v="0"/>
    <n v="0"/>
    <n v="10.619474348942379"/>
    <m/>
    <n v="1.9197088424695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71943044314226"/>
    <n v="0"/>
    <n v="0"/>
    <n v="0"/>
    <n v="0"/>
    <n v="0"/>
    <m/>
    <m/>
    <m/>
    <m/>
    <m/>
    <m/>
    <m/>
    <m/>
    <m/>
    <n v="234.37848645790814"/>
    <m/>
    <m/>
    <m/>
    <m/>
    <m/>
    <m/>
    <m/>
    <m/>
    <m/>
    <m/>
    <m/>
    <m/>
    <n v="5119.7682000000004"/>
    <n v="-140.62552999999934"/>
    <m/>
    <m/>
    <m/>
    <m/>
    <n v="-171.01197999999934"/>
    <n v="35.246419999999993"/>
    <n v="30"/>
    <n v="324.62824800904355"/>
    <n v="0"/>
    <n v="0"/>
    <n v="0"/>
    <n v="0"/>
    <n v="0"/>
    <n v="0"/>
    <n v="0"/>
    <n v="293.75896842548332"/>
    <n v="0"/>
    <n v="0"/>
    <n v="33.353325652009573"/>
    <n v="0"/>
    <n v="0"/>
    <n v="0"/>
    <n v="2.2273259899390183"/>
    <n v="0"/>
    <n v="-3.9930312782247768"/>
    <m/>
    <n v="0"/>
    <n v="0"/>
    <n v="0"/>
    <n v="0"/>
    <n v="-0.5865880642816883"/>
    <n v="-0.13175271588190407"/>
    <n v="0"/>
    <n v="90.200218283675511"/>
    <m/>
    <m/>
    <m/>
    <n v="3574.8843591452733"/>
    <n v="0"/>
    <n v="0"/>
    <n v="-171.01197999999931"/>
    <n v="35.246419999999972"/>
    <n v="0"/>
    <n v="0"/>
    <n v="-550.5944605948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5"/>
    <s v="Regular"/>
    <s v="Verde"/>
    <s v="A4"/>
    <s v="Industrial"/>
    <s v="Não se aplica"/>
    <s v="Não se aplica"/>
    <s v="Não se aplica"/>
    <s v="Fora ponta"/>
    <s v="CATIVO"/>
    <x v="5"/>
    <n v="0"/>
    <n v="0"/>
    <n v="47.845999999999997"/>
    <n v="47.845999999999997"/>
    <n v="47.845999999999997"/>
    <n v="47.845999999999997"/>
    <m/>
    <n v="94.17"/>
    <n v="207.07"/>
    <m/>
    <n v="14413.12904"/>
    <n v="14413.12904"/>
    <n v="15969.55942"/>
    <n v="0"/>
    <n v="3278.4758314805167"/>
    <n v="0"/>
    <n v="0"/>
    <n v="0"/>
    <n v="0"/>
    <n v="0"/>
    <n v="9907.709025604916"/>
    <n v="0"/>
    <n v="0"/>
    <n v="0"/>
    <n v="0"/>
    <n v="0"/>
    <n v="478.88724759613297"/>
    <m/>
    <n v="86.569641165689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63410640740665"/>
    <n v="0"/>
    <n v="0"/>
    <n v="0"/>
    <n v="0"/>
    <n v="0"/>
    <m/>
    <m/>
    <m/>
    <m/>
    <m/>
    <m/>
    <m/>
    <m/>
    <m/>
    <n v="10569.343132012322"/>
    <m/>
    <m/>
    <m/>
    <m/>
    <m/>
    <m/>
    <m/>
    <m/>
    <m/>
    <m/>
    <m/>
    <m/>
    <n v="15970.8945"/>
    <n v="1557.7354599999999"/>
    <m/>
    <m/>
    <m/>
    <m/>
    <n v="-33.013739999999892"/>
    <n v="1589.4441199999999"/>
    <n v="30"/>
    <n v="1392.0561271960614"/>
    <n v="0"/>
    <n v="0"/>
    <n v="0"/>
    <n v="0"/>
    <n v="0"/>
    <n v="0"/>
    <n v="0"/>
    <n v="0"/>
    <n v="0"/>
    <n v="0"/>
    <n v="1504.0746646051357"/>
    <n v="0"/>
    <n v="0"/>
    <n v="0"/>
    <n v="100.44169586675048"/>
    <n v="0"/>
    <n v="-180.06651700088878"/>
    <m/>
    <n v="0"/>
    <n v="0"/>
    <n v="0"/>
    <n v="0"/>
    <n v="-26.452302095779089"/>
    <n v="-5.9414141791569932"/>
    <n v="0"/>
    <n v="164.17033984335563"/>
    <m/>
    <m/>
    <m/>
    <n v="0"/>
    <n v="0"/>
    <n v="0"/>
    <n v="-33.013739999999416"/>
    <n v="1589.4441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6"/>
    <s v="Regular"/>
    <s v="Verde"/>
    <s v="A4"/>
    <s v="Industrial"/>
    <s v="Não se aplica"/>
    <s v="Não se aplica"/>
    <s v="Não se aplica"/>
    <s v="Não se aplica"/>
    <s v="CATIVO"/>
    <x v="5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7"/>
    <s v="Regular"/>
    <s v="Convencional"/>
    <s v="B3"/>
    <s v="Comercial"/>
    <s v="Não se aplica"/>
    <s v="Não se aplica"/>
    <s v="Não se aplica"/>
    <s v="Não se aplica"/>
    <s v="CATIVO"/>
    <x v="5"/>
    <n v="0"/>
    <n v="0"/>
    <n v="97.465000000000003"/>
    <n v="97.465000000000003"/>
    <n v="97.465000000000003"/>
    <n v="97.465000000000003"/>
    <m/>
    <n v="897.25"/>
    <n v="207.07"/>
    <m/>
    <n v="107632.5488"/>
    <n v="107632.5488"/>
    <n v="107959.05654999999"/>
    <n v="0"/>
    <n v="7676.3679764543649"/>
    <n v="0"/>
    <n v="0"/>
    <n v="0"/>
    <n v="19448.864411511295"/>
    <n v="55915.211244241058"/>
    <n v="20182.561973426895"/>
    <n v="0"/>
    <n v="0"/>
    <n v="0"/>
    <n v="0"/>
    <n v="0"/>
    <n v="975.52032744549399"/>
    <m/>
    <n v="271.4351895873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2.7710369106685"/>
    <n v="0"/>
    <n v="183.69"/>
    <n v="849.21"/>
    <n v="0"/>
    <n v="236"/>
    <m/>
    <m/>
    <m/>
    <m/>
    <m/>
    <m/>
    <m/>
    <m/>
    <m/>
    <n v="23345.333010337563"/>
    <m/>
    <m/>
    <m/>
    <m/>
    <m/>
    <m/>
    <m/>
    <m/>
    <m/>
    <m/>
    <m/>
    <m/>
    <n v="107964.5949"/>
    <n v="332.01610000000801"/>
    <m/>
    <m/>
    <m/>
    <m/>
    <n v="-2911.2795500000007"/>
    <n v="3237.7873"/>
    <n v="30"/>
    <n v="7232.7918468305506"/>
    <n v="0"/>
    <n v="0"/>
    <n v="0"/>
    <n v="0"/>
    <n v="0"/>
    <n v="0"/>
    <n v="0"/>
    <n v="4182.9008990671246"/>
    <n v="0"/>
    <n v="0"/>
    <n v="3063.8849054411985"/>
    <n v="0"/>
    <n v="0"/>
    <n v="0"/>
    <n v="480.13559686404687"/>
    <n v="0"/>
    <n v="-421.61568844419253"/>
    <m/>
    <n v="0"/>
    <n v="0"/>
    <n v="0"/>
    <n v="0"/>
    <n v="-53.884830994547315"/>
    <n v="-18.629035103077086"/>
    <n v="0"/>
    <n v="1705.7155209843222"/>
    <m/>
    <m/>
    <m/>
    <n v="55915.211244241058"/>
    <n v="0"/>
    <n v="0"/>
    <n v="-2911.2795500000066"/>
    <n v="3237.7873"/>
    <n v="0"/>
    <n v="0"/>
    <n v="-8611.916493273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.004"/>
    <n v="1.004"/>
    <n v="1.004"/>
    <n v="1.004"/>
    <m/>
    <n v="897.25"/>
    <n v="207.07"/>
    <m/>
    <n v="1108.7372800000001"/>
    <n v="1108.7372800000001"/>
    <n v="1112.10068"/>
    <n v="0"/>
    <n v="79.075293165343268"/>
    <n v="0"/>
    <n v="0"/>
    <n v="0"/>
    <n v="200.34535340027023"/>
    <n v="575.99006914500615"/>
    <n v="207.90327011050738"/>
    <n v="0"/>
    <n v="0"/>
    <n v="0"/>
    <n v="0"/>
    <n v="0"/>
    <n v="10.048965359413902"/>
    <m/>
    <n v="2.7960901897674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0127441217989"/>
    <n v="0"/>
    <n v="20.260000000000002"/>
    <n v="93.58"/>
    <n v="0"/>
    <n v="7"/>
    <m/>
    <m/>
    <m/>
    <m/>
    <m/>
    <m/>
    <m/>
    <m/>
    <m/>
    <n v="240.48339755172537"/>
    <m/>
    <m/>
    <m/>
    <m/>
    <m/>
    <m/>
    <m/>
    <m/>
    <m/>
    <m/>
    <m/>
    <m/>
    <n v="1107.67"/>
    <n v="-1.0972799999999552"/>
    <m/>
    <m/>
    <m/>
    <m/>
    <n v="-29.989480000000004"/>
    <n v="33.352879999999999"/>
    <n v="30"/>
    <n v="74.505956130076129"/>
    <n v="0"/>
    <n v="0"/>
    <n v="0"/>
    <n v="0"/>
    <n v="0"/>
    <n v="0"/>
    <n v="0"/>
    <n v="43.088621583782839"/>
    <n v="0"/>
    <n v="0"/>
    <n v="31.5614881758884"/>
    <n v="0"/>
    <n v="0"/>
    <n v="0"/>
    <n v="4.9459409967834915"/>
    <n v="0"/>
    <n v="-4.3431195936794609"/>
    <m/>
    <n v="0"/>
    <n v="0"/>
    <n v="0"/>
    <n v="0"/>
    <n v="-0.55507485064921269"/>
    <n v="-0.19190018204985781"/>
    <n v="0"/>
    <n v="17.570803704594056"/>
    <m/>
    <m/>
    <m/>
    <n v="575.99006914500615"/>
    <n v="0"/>
    <n v="0"/>
    <n v="-29.989480000000071"/>
    <n v="33.352879999999999"/>
    <n v="0"/>
    <n v="0"/>
    <n v="-88.71250355765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9"/>
    <s v="Regular"/>
    <s v="Azul"/>
    <s v="A4"/>
    <s v="Comercial"/>
    <s v="Não se aplica"/>
    <s v="Não se aplica"/>
    <s v="Não se aplica"/>
    <s v="Ponta"/>
    <s v="CATIVO"/>
    <x v="5"/>
    <n v="100"/>
    <n v="100"/>
    <n v="3.4049999999999998"/>
    <n v="3.4049999999999998"/>
    <n v="3.4049999999999998"/>
    <n v="3.4049999999999998"/>
    <n v="193.63"/>
    <n v="94.17"/>
    <n v="207.07"/>
    <n v="19363"/>
    <n v="1025.7221999999999"/>
    <n v="20388.7222"/>
    <n v="19831.486850000001"/>
    <n v="0"/>
    <n v="233.31543297644859"/>
    <n v="0"/>
    <n v="0"/>
    <n v="0"/>
    <n v="5352.7545792855199"/>
    <n v="14009.762805225198"/>
    <n v="705.09027363175051"/>
    <n v="0"/>
    <n v="0"/>
    <n v="0"/>
    <n v="0"/>
    <n v="0"/>
    <n v="34.080405427095947"/>
    <m/>
    <n v="6.1607998196123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85736160122465"/>
    <n v="0"/>
    <n v="0"/>
    <n v="0"/>
    <n v="0"/>
    <n v="0"/>
    <m/>
    <m/>
    <m/>
    <m/>
    <m/>
    <m/>
    <m/>
    <m/>
    <m/>
    <n v="752.17600979187296"/>
    <m/>
    <m/>
    <m/>
    <m/>
    <m/>
    <m/>
    <m/>
    <m/>
    <m/>
    <m/>
    <m/>
    <m/>
    <n v="19833.155700000003"/>
    <n v="-555.59649999999237"/>
    <m/>
    <m/>
    <m/>
    <m/>
    <n v="-670.34945000000073"/>
    <n v="113.11409999999999"/>
    <n v="30"/>
    <n v="1250.2930040111132"/>
    <n v="0"/>
    <n v="0"/>
    <n v="0"/>
    <n v="0"/>
    <n v="0"/>
    <n v="0"/>
    <n v="0"/>
    <n v="1151.2261831043998"/>
    <n v="0"/>
    <n v="0"/>
    <n v="107.03871238934278"/>
    <n v="0"/>
    <n v="0"/>
    <n v="0"/>
    <n v="7.1480160186073078"/>
    <n v="0"/>
    <n v="-12.814582000334951"/>
    <m/>
    <n v="0"/>
    <n v="0"/>
    <n v="0"/>
    <n v="0"/>
    <n v="-1.8824998669925961"/>
    <n v="-0.42282563390940897"/>
    <n v="0"/>
    <n v="350.90584051114223"/>
    <m/>
    <m/>
    <n v="14009.762805225198"/>
    <n v="0"/>
    <n v="0"/>
    <n v="0"/>
    <n v="-670.34945000000153"/>
    <n v="113.11410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0"/>
    <s v="Regular"/>
    <s v="Azul"/>
    <s v="A4"/>
    <s v="Comercial"/>
    <s v="Não se aplica"/>
    <s v="Não se aplica"/>
    <s v="Não se aplica"/>
    <s v="Fora ponta"/>
    <s v="CATIVO"/>
    <x v="5"/>
    <n v="100"/>
    <n v="100"/>
    <n v="30.143999999999998"/>
    <n v="30.143999999999998"/>
    <n v="30.143999999999998"/>
    <n v="30.143999999999998"/>
    <n v="73.75"/>
    <n v="94.17"/>
    <n v="207.07"/>
    <n v="7375"/>
    <n v="9080.5785599999999"/>
    <n v="16455.578560000002"/>
    <n v="17502.16288"/>
    <n v="0"/>
    <n v="2065.5096656804894"/>
    <n v="0"/>
    <n v="0"/>
    <n v="0"/>
    <n v="2905.8255513392301"/>
    <n v="4469.1623472813199"/>
    <n v="6242.067902600731"/>
    <n v="0"/>
    <n v="0"/>
    <n v="0"/>
    <n v="0"/>
    <n v="0"/>
    <n v="301.70917509379746"/>
    <m/>
    <n v="54.540719460321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84359201489917"/>
    <n v="0"/>
    <n v="0"/>
    <n v="0"/>
    <n v="0"/>
    <n v="0"/>
    <m/>
    <m/>
    <m/>
    <m/>
    <m/>
    <m/>
    <m/>
    <m/>
    <m/>
    <n v="6658.9114946156305"/>
    <m/>
    <m/>
    <m/>
    <m/>
    <m/>
    <m/>
    <m/>
    <m/>
    <m/>
    <m/>
    <m/>
    <m/>
    <n v="17500.827799999999"/>
    <n v="1045.2192400000022"/>
    <m/>
    <m/>
    <m/>
    <m/>
    <n v="45.20063999999973"/>
    <n v="1001.3836799999999"/>
    <n v="30"/>
    <n v="1501.9859624846704"/>
    <n v="0"/>
    <n v="0"/>
    <n v="0"/>
    <n v="0"/>
    <n v="0"/>
    <n v="0"/>
    <n v="0"/>
    <n v="624.9609259466497"/>
    <n v="0"/>
    <n v="0"/>
    <n v="947.59910316133482"/>
    <n v="0"/>
    <n v="0"/>
    <n v="0"/>
    <n v="63.280409651952652"/>
    <n v="0"/>
    <n v="-113.44574443996976"/>
    <m/>
    <n v="0"/>
    <n v="0"/>
    <n v="0"/>
    <n v="0"/>
    <n v="-16.665514241005837"/>
    <n v="-3.7432175942922896"/>
    <n v="0"/>
    <n v="232.63725713911302"/>
    <m/>
    <m/>
    <n v="4469.1623472813199"/>
    <n v="0"/>
    <n v="0"/>
    <n v="0"/>
    <n v="45.200639999999112"/>
    <n v="1001.3836799999999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1"/>
    <s v="Regular"/>
    <s v="Azul"/>
    <s v="A4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4"/>
    <n v="1310.7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2"/>
    <s v="Regular"/>
    <s v="Verde"/>
    <s v="A4"/>
    <s v="Comercial"/>
    <s v="Não se aplica"/>
    <s v="Não se aplica"/>
    <s v="Não se aplica"/>
    <s v="Ponta"/>
    <s v="CATIVO"/>
    <x v="5"/>
    <n v="0"/>
    <n v="0"/>
    <n v="0.85099999999999998"/>
    <n v="0.85099999999999998"/>
    <n v="0.85099999999999998"/>
    <n v="0.85099999999999998"/>
    <m/>
    <n v="4750.8599999999997"/>
    <n v="207.07"/>
    <m/>
    <n v="4219.1984299999995"/>
    <n v="4219.1984299999995"/>
    <n v="4110.30447"/>
    <n v="0"/>
    <n v="58.311727889268063"/>
    <n v="0"/>
    <n v="0"/>
    <n v="0"/>
    <n v="1095.5242209493663"/>
    <n v="2867.3200656292438"/>
    <n v="176.22079966538024"/>
    <n v="0"/>
    <n v="0"/>
    <n v="0"/>
    <n v="0"/>
    <n v="0"/>
    <n v="8.517599124363775"/>
    <m/>
    <n v="1.5397476201145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67976937522532"/>
    <n v="0"/>
    <n v="0"/>
    <n v="0"/>
    <n v="0"/>
    <n v="0"/>
    <m/>
    <m/>
    <m/>
    <m/>
    <m/>
    <m/>
    <m/>
    <m/>
    <m/>
    <n v="187.98877660290276"/>
    <m/>
    <m/>
    <m/>
    <m/>
    <m/>
    <m/>
    <m/>
    <m/>
    <m/>
    <m/>
    <m/>
    <m/>
    <n v="4105.4745000000003"/>
    <n v="-113.75392999999985"/>
    <m/>
    <m/>
    <m/>
    <m/>
    <n v="-137.16417999999948"/>
    <n v="28.270219999999998"/>
    <n v="30"/>
    <n v="260.37572012789406"/>
    <n v="0"/>
    <n v="0"/>
    <n v="0"/>
    <n v="0"/>
    <n v="0"/>
    <n v="0"/>
    <n v="0"/>
    <n v="235.61628852977015"/>
    <n v="0"/>
    <n v="0"/>
    <n v="26.751819161036906"/>
    <n v="0"/>
    <n v="0"/>
    <n v="0"/>
    <n v="1.7864791870293164"/>
    <n v="0"/>
    <n v="-3.2027046350323189"/>
    <m/>
    <n v="0"/>
    <n v="0"/>
    <n v="0"/>
    <n v="0"/>
    <n v="-0.47048675089888548"/>
    <n v="-0.10567536401083921"/>
    <n v="0"/>
    <n v="72.347206182288275"/>
    <m/>
    <m/>
    <m/>
    <n v="2867.3200656292438"/>
    <n v="0"/>
    <n v="0"/>
    <n v="-137.16417999999931"/>
    <n v="28.270219999999995"/>
    <n v="0"/>
    <n v="0"/>
    <n v="-441.6172346524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3"/>
    <s v="Regular"/>
    <s v="Verde"/>
    <s v="A4"/>
    <s v="Comercial"/>
    <s v="Não se aplica"/>
    <s v="Não se aplica"/>
    <s v="Não se aplica"/>
    <s v="Fora ponta"/>
    <s v="CATIVO"/>
    <x v="5"/>
    <n v="0"/>
    <n v="0"/>
    <n v="82.757999999999996"/>
    <n v="82.757999999999996"/>
    <n v="82.757999999999996"/>
    <n v="82.757999999999996"/>
    <m/>
    <n v="94.17"/>
    <n v="207.07"/>
    <m/>
    <n v="24930.019919999999"/>
    <n v="24930.019919999999"/>
    <n v="27622.13766"/>
    <n v="0"/>
    <n v="5670.6956247474109"/>
    <n v="0"/>
    <n v="0"/>
    <n v="0"/>
    <n v="0"/>
    <n v="0"/>
    <n v="17137.110386260327"/>
    <n v="0"/>
    <n v="0"/>
    <n v="0"/>
    <n v="0"/>
    <n v="0"/>
    <n v="828.31899921750562"/>
    <m/>
    <n v="149.7372897126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4115574565096"/>
    <n v="0"/>
    <n v="0"/>
    <n v="0"/>
    <n v="0"/>
    <n v="0"/>
    <m/>
    <m/>
    <m/>
    <m/>
    <m/>
    <m/>
    <m/>
    <m/>
    <m/>
    <n v="18281.521943716838"/>
    <m/>
    <m/>
    <m/>
    <m/>
    <m/>
    <m/>
    <m/>
    <m/>
    <m/>
    <m/>
    <m/>
    <m/>
    <n v="27622.805200000003"/>
    <n v="2692.7552800000049"/>
    <m/>
    <m/>
    <m/>
    <m/>
    <n v="-57.103019999999809"/>
    <n v="2749.2207599999997"/>
    <n v="30"/>
    <n v="2407.8038075176883"/>
    <n v="0"/>
    <n v="0"/>
    <n v="0"/>
    <n v="0"/>
    <n v="0"/>
    <n v="0"/>
    <n v="0"/>
    <n v="0"/>
    <n v="0"/>
    <n v="0"/>
    <n v="2601.5594008567459"/>
    <n v="0"/>
    <n v="0"/>
    <n v="0"/>
    <n v="173.73142721524323"/>
    <n v="0"/>
    <n v="-311.45643970153287"/>
    <m/>
    <n v="0"/>
    <n v="0"/>
    <n v="0"/>
    <n v="0"/>
    <n v="-45.753869013971666"/>
    <n v="-10.276711838788515"/>
    <n v="0"/>
    <n v="283.96122946027725"/>
    <m/>
    <m/>
    <m/>
    <n v="0"/>
    <n v="0"/>
    <n v="0"/>
    <n v="-57.10301999999956"/>
    <n v="2749.220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4"/>
    <s v="Regular"/>
    <s v="Verde"/>
    <s v="A4"/>
    <s v="Comercial"/>
    <s v="Não se aplica"/>
    <s v="Não se aplica"/>
    <s v="Não se aplica"/>
    <s v="Não se aplica"/>
    <s v="CATIVO"/>
    <x v="5"/>
    <n v="321"/>
    <n v="321"/>
    <n v="0"/>
    <n v="0"/>
    <n v="0"/>
    <n v="0"/>
    <n v="73.75"/>
    <m/>
    <m/>
    <n v="23673.75"/>
    <m/>
    <n v="23673.75"/>
    <n v="23885.61"/>
    <n v="0"/>
    <n v="0"/>
    <n v="0"/>
    <n v="0"/>
    <n v="0"/>
    <n v="9327.7000197989291"/>
    <n v="14346.011134773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3885.61"/>
    <n v="211.83000000000538"/>
    <m/>
    <m/>
    <m/>
    <m/>
    <n v="211.85999999999891"/>
    <n v="0"/>
    <n v="30"/>
    <n v="2006.1245722887452"/>
    <n v="0"/>
    <n v="0"/>
    <n v="0"/>
    <n v="0"/>
    <m/>
    <m/>
    <m/>
    <n v="2006.1245722887452"/>
    <n v="0"/>
    <n v="0"/>
    <m/>
    <m/>
    <n v="0"/>
    <n v="0"/>
    <n v="0"/>
    <n v="0"/>
    <n v="0"/>
    <m/>
    <n v="0"/>
    <n v="0"/>
    <m/>
    <n v="0"/>
    <n v="0"/>
    <n v="0"/>
    <n v="0"/>
    <n v="414.75268263796437"/>
    <m/>
    <m/>
    <n v="14346.011134773036"/>
    <m/>
    <n v="0"/>
    <n v="0"/>
    <n v="211.86000000000058"/>
    <m/>
    <n v="0"/>
    <m/>
    <n v="-2209.53560140509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45"/>
    <s v="Regular"/>
    <s v="Branca"/>
    <s v="B3"/>
    <s v="Comercial"/>
    <s v="Não se aplica"/>
    <s v="Não se aplica"/>
    <s v="Não se aplica"/>
    <s v="Ponta"/>
    <s v="CATIVO"/>
    <x v="5"/>
    <n v="0"/>
    <n v="0"/>
    <n v="3.6999999999999998E-2"/>
    <n v="3.6999999999999998E-2"/>
    <n v="3.6999999999999998E-2"/>
    <n v="3.6999999999999998E-2"/>
    <m/>
    <n v="2482.39"/>
    <n v="207.07"/>
    <m/>
    <n v="99.510019999999997"/>
    <n v="99.510019999999997"/>
    <n v="97.214909999999989"/>
    <n v="0"/>
    <n v="2.9141293297985067"/>
    <n v="0"/>
    <n v="0"/>
    <n v="0"/>
    <n v="22.518924485542097"/>
    <n v="64.741487534150536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105.09719999999999"/>
    <n v="5.557179999999974"/>
    <m/>
    <m/>
    <m/>
    <m/>
    <n v="-3.5242499999999999"/>
    <n v="1.2291399999999999"/>
    <n v="30"/>
    <n v="6.0009941654580672"/>
    <n v="0"/>
    <n v="0"/>
    <n v="0"/>
    <n v="0"/>
    <n v="0"/>
    <n v="0"/>
    <n v="0"/>
    <n v="4.84318402779585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6750587497568588"/>
    <m/>
    <m/>
    <m/>
    <n v="64.741487534150536"/>
    <n v="0"/>
    <n v="0"/>
    <n v="-3.5242500000000092"/>
    <n v="1.2291400000000001"/>
    <n v="0"/>
    <n v="0"/>
    <n v="-9.97131678281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6"/>
    <s v="Regular"/>
    <s v="Branca"/>
    <s v="B3"/>
    <s v="Comercial"/>
    <s v="Não se aplica"/>
    <s v="Não se aplica"/>
    <s v="Não se aplica"/>
    <s v="Fora ponta"/>
    <s v="CATIVO"/>
    <x v="5"/>
    <n v="0"/>
    <n v="0"/>
    <n v="0.20399999999999999"/>
    <n v="0.20399999999999999"/>
    <n v="0.20399999999999999"/>
    <n v="0.20399999999999999"/>
    <m/>
    <n v="595.67999999999995"/>
    <n v="207.07"/>
    <m/>
    <n v="163.76099999999997"/>
    <n v="163.76099999999997"/>
    <n v="166.98215999999999"/>
    <n v="0"/>
    <n v="16.067091439970145"/>
    <n v="0"/>
    <n v="0"/>
    <n v="0"/>
    <n v="24.831441198106848"/>
    <n v="71.390633979406374"/>
    <n v="42.243293926836159"/>
    <n v="0"/>
    <n v="0"/>
    <n v="0"/>
    <n v="0"/>
    <n v="0"/>
    <n v="2.041821646733502"/>
    <m/>
    <n v="0.56812987919576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198665318809446"/>
    <n v="0"/>
    <n v="0"/>
    <n v="0"/>
    <n v="0"/>
    <n v="0"/>
    <m/>
    <m/>
    <m/>
    <m/>
    <m/>
    <m/>
    <m/>
    <m/>
    <m/>
    <n v="48.863160458717104"/>
    <m/>
    <m/>
    <m/>
    <m/>
    <m/>
    <m/>
    <m/>
    <m/>
    <m/>
    <m/>
    <m/>
    <m/>
    <n v="163.708"/>
    <n v="-8.2999999999998408E-2"/>
    <m/>
    <m/>
    <m/>
    <m/>
    <n v="-3.5557199999999898"/>
    <n v="6.7768799999999993"/>
    <n v="30"/>
    <n v="11.724142835948328"/>
    <n v="0"/>
    <n v="0"/>
    <n v="0"/>
    <n v="0"/>
    <n v="0"/>
    <n v="0"/>
    <n v="0"/>
    <n v="5.3405409958647958"/>
    <n v="0"/>
    <n v="0"/>
    <n v="6.4128920198020225"/>
    <n v="0"/>
    <n v="0"/>
    <n v="0"/>
    <n v="1.0049521547249336"/>
    <n v="0"/>
    <n v="-0.8824665309866635"/>
    <m/>
    <n v="0"/>
    <n v="0"/>
    <n v="0"/>
    <n v="0"/>
    <n v="-0.11278413300043777"/>
    <n v="-3.8991670456345551E-2"/>
    <n v="0"/>
    <n v="2.4923715751900435"/>
    <m/>
    <m/>
    <m/>
    <n v="71.390633979406374"/>
    <n v="0"/>
    <n v="0"/>
    <n v="-3.5557199999999938"/>
    <n v="6.7768799999999985"/>
    <n v="0"/>
    <n v="0"/>
    <n v="-10.99540115384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7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8"/>
    <s v="Regular"/>
    <s v="Branca"/>
    <s v="B3"/>
    <s v="Comercial"/>
    <s v="Não se aplica"/>
    <s v="Não se aplica"/>
    <s v="Não se aplica"/>
    <s v="Intermediário"/>
    <s v="CATIVO"/>
    <x v="5"/>
    <n v="0"/>
    <n v="0"/>
    <n v="1.9E-2"/>
    <n v="1.9E-2"/>
    <n v="1.9E-2"/>
    <n v="1.9E-2"/>
    <m/>
    <n v="1539.04"/>
    <n v="207.07"/>
    <m/>
    <n v="33.176090000000002"/>
    <n v="33.176090000000002"/>
    <n v="32.736809999999998"/>
    <n v="0"/>
    <n v="1.4964447909776117"/>
    <n v="0"/>
    <n v="0"/>
    <n v="0"/>
    <n v="6.938254279454056"/>
    <n v="19.947375312449811"/>
    <n v="3.934424434362191"/>
    <n v="0"/>
    <n v="0"/>
    <n v="0"/>
    <n v="0"/>
    <n v="0"/>
    <n v="0.19016966317615949"/>
    <m/>
    <n v="5.29140573760764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655619659675465"/>
    <n v="0"/>
    <n v="0"/>
    <n v="0"/>
    <n v="0"/>
    <n v="0"/>
    <m/>
    <m/>
    <m/>
    <m/>
    <m/>
    <m/>
    <m/>
    <m/>
    <m/>
    <n v="4.5509806309589456"/>
    <m/>
    <m/>
    <m/>
    <m/>
    <m/>
    <m/>
    <m/>
    <m/>
    <m/>
    <m/>
    <m/>
    <m/>
    <n v="34.459800000000001"/>
    <n v="1.2537099999999981"/>
    <m/>
    <m/>
    <m/>
    <m/>
    <n v="-1.0704599999999984"/>
    <n v="0.63117999999999996"/>
    <n v="30"/>
    <n v="2.0867734969654155"/>
    <n v="0"/>
    <n v="0"/>
    <n v="0"/>
    <n v="0"/>
    <n v="0"/>
    <n v="0"/>
    <n v="0"/>
    <n v="1.4922223451929311"/>
    <n v="0"/>
    <n v="0"/>
    <n v="0.59727915870705184"/>
    <n v="0"/>
    <n v="0"/>
    <n v="0"/>
    <n v="9.3598484998890896E-2"/>
    <n v="0"/>
    <n v="-8.2190510238954184E-2"/>
    <m/>
    <n v="0"/>
    <n v="0"/>
    <n v="0"/>
    <n v="0"/>
    <n v="-1.0504404544158408E-2"/>
    <n v="-3.6315771503459132E-3"/>
    <n v="0"/>
    <n v="0.54614896195105422"/>
    <m/>
    <m/>
    <m/>
    <n v="19.947375312449811"/>
    <n v="0"/>
    <n v="0"/>
    <n v="-1.0704600000000006"/>
    <n v="0.63118000000000007"/>
    <n v="0"/>
    <n v="0"/>
    <n v="-3.0722432523849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9"/>
    <s v="Regular"/>
    <s v="Convencional"/>
    <s v="B2"/>
    <s v="Rural"/>
    <s v="Não se aplica"/>
    <s v="Não se aplica"/>
    <s v="Não se aplica"/>
    <s v="Não se aplica"/>
    <s v="CATIVO"/>
    <x v="5"/>
    <n v="0"/>
    <n v="0"/>
    <n v="42.475999999999999"/>
    <n v="42.475999999999999"/>
    <n v="42.475999999999999"/>
    <n v="42.475999999999999"/>
    <m/>
    <n v="897.25"/>
    <n v="207.07"/>
    <m/>
    <n v="46907.096319999997"/>
    <n v="46907.096319999997"/>
    <n v="47049.390920000005"/>
    <n v="0"/>
    <n v="3345.4204706086857"/>
    <n v="0"/>
    <n v="0"/>
    <n v="0"/>
    <n v="8475.9653695516718"/>
    <n v="24368.28105279211"/>
    <n v="8795.7164354720226"/>
    <n v="0"/>
    <n v="0"/>
    <n v="0"/>
    <n v="0"/>
    <n v="0"/>
    <n v="425.13929542476581"/>
    <m/>
    <n v="118.29355268980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8.3600529812502"/>
    <n v="0"/>
    <n v="32.770000000000003"/>
    <n v="151.38999999999999"/>
    <n v="0"/>
    <n v="161"/>
    <m/>
    <m/>
    <m/>
    <m/>
    <m/>
    <n v="5645.909920000001"/>
    <m/>
    <m/>
    <m/>
    <n v="10174.076488453273"/>
    <m/>
    <m/>
    <m/>
    <m/>
    <m/>
    <m/>
    <m/>
    <m/>
    <m/>
    <m/>
    <m/>
    <m/>
    <n v="41407.379999999997"/>
    <n v="128.74843999998848"/>
    <m/>
    <m/>
    <m/>
    <m/>
    <n v="-1268.7581200000002"/>
    <n v="1411.0527199999999"/>
    <n v="30"/>
    <n v="3152.1065663158515"/>
    <n v="0"/>
    <n v="0"/>
    <n v="0"/>
    <n v="0"/>
    <n v="0"/>
    <n v="0"/>
    <n v="0"/>
    <n v="1822.9405282796397"/>
    <n v="0"/>
    <n v="0"/>
    <n v="1335.2647129074066"/>
    <n v="0"/>
    <n v="0"/>
    <n v="0"/>
    <n v="209.24680256909937"/>
    <n v="0"/>
    <n v="-183.74337436367432"/>
    <m/>
    <n v="0"/>
    <n v="0"/>
    <n v="0"/>
    <n v="0"/>
    <n v="-23.48342565356171"/>
    <n v="-8.1186774230575338"/>
    <n v="0"/>
    <n v="743.36400214774608"/>
    <m/>
    <m/>
    <m/>
    <n v="24368.28105279211"/>
    <n v="0"/>
    <n v="0"/>
    <n v="-1268.7581199999986"/>
    <n v="1411.0527199999997"/>
    <n v="0"/>
    <n v="0"/>
    <n v="-3753.139742146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0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309"/>
    <n v="-0.309"/>
    <n v="-0.309"/>
    <n v="-0.309"/>
    <m/>
    <n v="897.25"/>
    <n v="207.07"/>
    <m/>
    <n v="-341.23487999999998"/>
    <n v="-341.23487999999998"/>
    <n v="-342.27003000000002"/>
    <n v="0"/>
    <n v="-24.336917916425367"/>
    <n v="0"/>
    <n v="0"/>
    <n v="0"/>
    <n v="-61.66007390506325"/>
    <n v="-177.2718439898475"/>
    <n v="-63.986165800943006"/>
    <n v="0"/>
    <n v="0"/>
    <n v="0"/>
    <n v="0"/>
    <n v="0"/>
    <n v="-3.0927592590228046"/>
    <m/>
    <n v="-0.86054966995829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027150776231432"/>
    <n v="0"/>
    <n v="0"/>
    <n v="0"/>
    <n v="0"/>
    <n v="0"/>
    <m/>
    <m/>
    <m/>
    <m/>
    <m/>
    <n v="-41.072280000000006"/>
    <m/>
    <m/>
    <m/>
    <n v="-74.013316577174436"/>
    <m/>
    <m/>
    <m/>
    <m/>
    <m/>
    <m/>
    <m/>
    <m/>
    <m/>
    <m/>
    <m/>
    <m/>
    <n v="-302.17250000000001"/>
    <n v="-1.9132099999999923"/>
    <m/>
    <m/>
    <m/>
    <m/>
    <n v="9.2298300000000015"/>
    <n v="-10.26498"/>
    <n v="30"/>
    <n v="-22.930617972304361"/>
    <n v="0"/>
    <n v="0"/>
    <n v="0"/>
    <n v="0"/>
    <n v="0"/>
    <n v="0"/>
    <n v="0"/>
    <n v="-13.261338714530773"/>
    <n v="0"/>
    <n v="0"/>
    <n v="-9.7136452652883705"/>
    <n v="0"/>
    <n v="0"/>
    <n v="0"/>
    <n v="-1.5222069402451197"/>
    <n v="0"/>
    <n v="1.3366772454650935"/>
    <m/>
    <n v="0"/>
    <n v="0"/>
    <n v="0"/>
    <n v="0"/>
    <n v="0.17083478969183963"/>
    <n v="5.9060912602994065E-2"/>
    <n v="0"/>
    <n v="-5.407747355298369"/>
    <m/>
    <m/>
    <m/>
    <n v="-177.2718439898475"/>
    <n v="0"/>
    <n v="0"/>
    <n v="9.2298299999999927"/>
    <n v="-10.264979999999994"/>
    <n v="0"/>
    <n v="0"/>
    <n v="27.30295179214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1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0.45300000000000001"/>
    <n v="0.45300000000000001"/>
    <n v="0.45300000000000001"/>
    <n v="0.45300000000000001"/>
    <m/>
    <n v="897.25"/>
    <n v="207.07"/>
    <m/>
    <n v="500.25695999999999"/>
    <n v="500.25695999999999"/>
    <n v="501.77450999999996"/>
    <n v="0"/>
    <n v="35.67839422699253"/>
    <n v="0"/>
    <n v="0"/>
    <n v="0"/>
    <n v="90.394865627811171"/>
    <n v="259.88396546084437"/>
    <n v="93.804961514003821"/>
    <n v="0"/>
    <n v="0"/>
    <n v="0"/>
    <n v="0"/>
    <n v="0"/>
    <n v="4.5340451273052764"/>
    <m/>
    <n v="1.2615825258611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99997739912099"/>
    <n v="0"/>
    <n v="0"/>
    <n v="0"/>
    <n v="0"/>
    <n v="5"/>
    <m/>
    <m/>
    <m/>
    <m/>
    <m/>
    <n v="60.21276000000001"/>
    <m/>
    <m/>
    <m/>
    <n v="108.50495925391593"/>
    <m/>
    <m/>
    <m/>
    <m/>
    <m/>
    <m/>
    <m/>
    <m/>
    <m/>
    <m/>
    <m/>
    <m/>
    <n v="438.63750000000005"/>
    <n v="-1.6224299999999516"/>
    <m/>
    <m/>
    <m/>
    <m/>
    <n v="-13.531110000000002"/>
    <n v="15.04866"/>
    <n v="30"/>
    <n v="33.616731202116028"/>
    <n v="0"/>
    <n v="0"/>
    <n v="0"/>
    <n v="0"/>
    <n v="0"/>
    <n v="0"/>
    <n v="0"/>
    <n v="19.44138005722472"/>
    <n v="0"/>
    <n v="0"/>
    <n v="14.240392573383915"/>
    <n v="0"/>
    <n v="0"/>
    <n v="0"/>
    <n v="2.2315849318156609"/>
    <n v="0"/>
    <n v="-1.9595947967497978"/>
    <m/>
    <n v="0"/>
    <n v="0"/>
    <n v="0"/>
    <n v="0"/>
    <n v="-0.25044711886861926"/>
    <n v="-8.658444468982629E-2"/>
    <n v="0"/>
    <n v="7.9278626276704252"/>
    <m/>
    <m/>
    <m/>
    <n v="259.88396546084437"/>
    <n v="0"/>
    <n v="0"/>
    <n v="-13.531110000000012"/>
    <n v="15.048659999999998"/>
    <n v="0"/>
    <n v="0"/>
    <n v="-40.02665748169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0.225000000000001"/>
    <n v="20.225000000000001"/>
    <n v="20.225000000000001"/>
    <n v="20.225000000000001"/>
    <m/>
    <n v="897.25"/>
    <n v="207.07"/>
    <m/>
    <n v="22334.872000000003"/>
    <n v="22334.872000000003"/>
    <n v="22402.625749999999"/>
    <n v="0"/>
    <n v="1592.9260998695895"/>
    <n v="0"/>
    <n v="0"/>
    <n v="0"/>
    <n v="4035.8414068928942"/>
    <n v="11602.987199659112"/>
    <n v="4188.0912728934381"/>
    <n v="0"/>
    <n v="0"/>
    <n v="0"/>
    <n v="0"/>
    <n v="0"/>
    <n v="202.43060198620137"/>
    <m/>
    <n v="56.325621601639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3078461141771"/>
    <n v="0"/>
    <n v="166.82"/>
    <n v="770.49"/>
    <n v="0"/>
    <n v="31"/>
    <m/>
    <m/>
    <m/>
    <m/>
    <m/>
    <m/>
    <m/>
    <m/>
    <m/>
    <n v="4844.3991190076149"/>
    <m/>
    <m/>
    <m/>
    <m/>
    <m/>
    <m/>
    <m/>
    <m/>
    <m/>
    <m/>
    <m/>
    <m/>
    <n v="22408.164099999998"/>
    <n v="73.262099999999919"/>
    <m/>
    <m/>
    <m/>
    <m/>
    <n v="-604.12075000000016"/>
    <n v="671.87450000000001"/>
    <n v="30"/>
    <n v="1500.879444950986"/>
    <n v="0"/>
    <n v="0"/>
    <n v="0"/>
    <n v="0"/>
    <n v="0"/>
    <n v="0"/>
    <n v="0"/>
    <n v="867.99538997211948"/>
    <n v="0"/>
    <n v="0"/>
    <n v="635.78794657105936"/>
    <n v="0"/>
    <n v="0"/>
    <n v="0"/>
    <n v="99.633124163293019"/>
    <n v="0"/>
    <n v="-87.48963524120245"/>
    <m/>
    <n v="0"/>
    <n v="0"/>
    <n v="0"/>
    <n v="0"/>
    <n v="-11.181662205558098"/>
    <n v="-3.8657183087234728"/>
    <n v="0"/>
    <n v="353.95369016475576"/>
    <m/>
    <m/>
    <m/>
    <n v="11602.987199659112"/>
    <n v="0"/>
    <n v="0"/>
    <n v="-604.12075000000186"/>
    <n v="671.8744999999999"/>
    <n v="0"/>
    <n v="0"/>
    <n v="-1787.062135909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60.94600000000003"/>
    <n v="260.94600000000003"/>
    <n v="260.94600000000003"/>
    <n v="260.94600000000003"/>
    <m/>
    <n v="493.49"/>
    <n v="113.89"/>
    <m/>
    <n v="158493.38148000001"/>
    <n v="158493.38148000001"/>
    <n v="158973.52212000001"/>
    <n v="0"/>
    <n v="11303.695017607581"/>
    <n v="0"/>
    <n v="0"/>
    <n v="0"/>
    <n v="28639.068947821583"/>
    <n v="82336.919841346724"/>
    <n v="29719.4618498417"/>
    <n v="0"/>
    <n v="0"/>
    <n v="0"/>
    <n v="0"/>
    <n v="0"/>
    <n v="1436.4845847337549"/>
    <m/>
    <n v="399.6969152016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7.2805422329029"/>
    <n v="0"/>
    <n v="1322.43"/>
    <n v="6103.62"/>
    <n v="0"/>
    <n v="3"/>
    <m/>
    <m/>
    <m/>
    <m/>
    <m/>
    <m/>
    <m/>
    <m/>
    <m/>
    <n v="34376.742392074601"/>
    <m/>
    <m/>
    <m/>
    <m/>
    <m/>
    <m/>
    <m/>
    <m/>
    <m/>
    <m/>
    <m/>
    <m/>
    <n v="158975.959"/>
    <n v="482.5475199999928"/>
    <m/>
    <m/>
    <m/>
    <m/>
    <n v="-4287.3427800000018"/>
    <n v="4767.4834199999996"/>
    <n v="30"/>
    <n v="10650.515115114729"/>
    <n v="0"/>
    <n v="0"/>
    <n v="0"/>
    <n v="0"/>
    <n v="0"/>
    <n v="0"/>
    <n v="0"/>
    <n v="6159.4540799709976"/>
    <n v="0"/>
    <n v="0"/>
    <n v="4511.6675811253481"/>
    <n v="0"/>
    <n v="0"/>
    <n v="0"/>
    <n v="707.01487613613153"/>
    <n v="0"/>
    <n v="-620.84245719198589"/>
    <m/>
    <n v="0"/>
    <n v="0"/>
    <n v="0"/>
    <n v="0"/>
    <n v="-79.347120605208602"/>
    <n v="-27.431844320568075"/>
    <n v="0"/>
    <n v="2511.7201383709707"/>
    <m/>
    <m/>
    <m/>
    <n v="82336.919841346724"/>
    <n v="0"/>
    <n v="0"/>
    <n v="-4287.3427800000063"/>
    <n v="4767.4834200000005"/>
    <n v="0"/>
    <n v="0"/>
    <n v="-12681.31984496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3.079000000000001"/>
    <n v="12.29426"/>
    <n v="13.079000000000001"/>
    <n v="12.29426"/>
    <m/>
    <n v="897.25"/>
    <n v="207.07"/>
    <m/>
    <n v="14443.40128"/>
    <n v="14443.40128"/>
    <n v="14487.215930000002"/>
    <n v="0"/>
    <n v="1030.105337957694"/>
    <n v="0"/>
    <n v="0"/>
    <n v="0"/>
    <n v="2609.8773676515284"/>
    <n v="7503.3606716608911"/>
    <n v="2708.3335356327948"/>
    <n v="0"/>
    <n v="0"/>
    <n v="0"/>
    <n v="0"/>
    <n v="0"/>
    <n v="130.90679077268371"/>
    <m/>
    <n v="36.4243661274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41781554152396"/>
    <n v="0"/>
    <n v="10.46"/>
    <n v="48.27"/>
    <n v="0"/>
    <n v="2"/>
    <m/>
    <m/>
    <m/>
    <m/>
    <n v="869.23295580000126"/>
    <m/>
    <m/>
    <m/>
    <m/>
    <n v="3132.7513511743186"/>
    <m/>
    <m/>
    <m/>
    <m/>
    <m/>
    <m/>
    <m/>
    <m/>
    <m/>
    <m/>
    <m/>
    <m/>
    <n v="13613.264299999999"/>
    <n v="36.437096799998471"/>
    <m/>
    <m/>
    <m/>
    <m/>
    <n v="-390.66973000000007"/>
    <n v="434.48437999999999"/>
    <n v="30"/>
    <n v="970.58107592158194"/>
    <n v="0"/>
    <n v="0"/>
    <n v="0"/>
    <n v="0"/>
    <n v="0"/>
    <n v="0"/>
    <n v="0"/>
    <n v="561.3108383409317"/>
    <n v="0"/>
    <n v="0"/>
    <n v="411.14811140681741"/>
    <n v="0"/>
    <n v="0"/>
    <n v="0"/>
    <n v="64.430241331604918"/>
    <n v="0"/>
    <n v="-56.577351758699024"/>
    <m/>
    <n v="0"/>
    <n v="0"/>
    <n v="0"/>
    <n v="0"/>
    <n v="-7.2309003701604269"/>
    <n v="-2.4998630289144259"/>
    <n v="0"/>
    <n v="228.89296977329249"/>
    <m/>
    <m/>
    <m/>
    <n v="7503.3606716608911"/>
    <n v="0"/>
    <n v="0"/>
    <n v="-390.66972999999962"/>
    <n v="434.48438000000033"/>
    <n v="0"/>
    <n v="0"/>
    <n v="-1155.648241066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6639999999999999"/>
    <n v="1.56416"/>
    <n v="1.6639999999999999"/>
    <n v="1.56416"/>
    <m/>
    <n v="4750.8599999999997"/>
    <n v="207.07"/>
    <m/>
    <n v="8249.9955199999986"/>
    <n v="8249.9955199999986"/>
    <n v="8037.0700800000004"/>
    <n v="0"/>
    <n v="114.01964184223509"/>
    <n v="0"/>
    <n v="0"/>
    <n v="0"/>
    <n v="2142.1296165214399"/>
    <n v="5606.604687669872"/>
    <n v="344.57275046203608"/>
    <n v="0"/>
    <n v="0"/>
    <n v="0"/>
    <n v="0"/>
    <n v="0"/>
    <n v="16.654858922375229"/>
    <m/>
    <n v="3.0107403523744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10474293816088"/>
    <n v="0"/>
    <n v="0"/>
    <n v="0"/>
    <n v="0"/>
    <n v="0"/>
    <m/>
    <m/>
    <m/>
    <m/>
    <n v="482.22420479999971"/>
    <m/>
    <m/>
    <m/>
    <m/>
    <n v="367.58322475585214"/>
    <m/>
    <m/>
    <m/>
    <m/>
    <m/>
    <m/>
    <m/>
    <m/>
    <m/>
    <m/>
    <m/>
    <m/>
    <n v="7534.7532000000001"/>
    <n v="-220.27258879999954"/>
    <m/>
    <m/>
    <m/>
    <m/>
    <n v="-268.20351999999895"/>
    <n v="55.278079999999996"/>
    <n v="30"/>
    <n v="509.12479235348519"/>
    <n v="0"/>
    <n v="0"/>
    <n v="0"/>
    <n v="0"/>
    <n v="0"/>
    <n v="0"/>
    <n v="0"/>
    <n v="460.71152069745904"/>
    <n v="0"/>
    <n v="0"/>
    <n v="52.309080004659677"/>
    <n v="0"/>
    <n v="0"/>
    <n v="0"/>
    <n v="3.4931860954368759"/>
    <n v="0"/>
    <n v="-6.2623977822488541"/>
    <m/>
    <n v="0"/>
    <n v="0"/>
    <n v="0"/>
    <n v="0"/>
    <n v="-0.91996469270945092"/>
    <n v="-0.20663196911167603"/>
    <n v="0"/>
    <n v="141.46386731765887"/>
    <m/>
    <m/>
    <m/>
    <n v="5606.604687669872"/>
    <n v="0"/>
    <n v="0"/>
    <n v="-268.20351999999912"/>
    <n v="55.278080000000045"/>
    <n v="0"/>
    <n v="0"/>
    <n v="-863.5147808009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6.919"/>
    <n v="15.90386"/>
    <n v="16.919"/>
    <n v="15.90386"/>
    <m/>
    <n v="94.17"/>
    <n v="207.07"/>
    <m/>
    <n v="5096.6795599999996"/>
    <n v="5096.6795599999996"/>
    <n v="5647.0546300000005"/>
    <n v="0"/>
    <n v="1159.3138944283507"/>
    <n v="0"/>
    <n v="0"/>
    <n v="0"/>
    <n v="0"/>
    <n v="0"/>
    <n v="3503.5014213144168"/>
    <n v="0"/>
    <n v="0"/>
    <n v="0"/>
    <n v="0"/>
    <n v="0"/>
    <n v="169.34108059354961"/>
    <m/>
    <n v="30.612209147730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96286933718417"/>
    <n v="0"/>
    <n v="0"/>
    <n v="0"/>
    <n v="0"/>
    <n v="0"/>
    <m/>
    <m/>
    <m/>
    <m/>
    <n v="338.8232778000002"/>
    <m/>
    <m/>
    <m/>
    <m/>
    <n v="3737.464290651601"/>
    <m/>
    <m/>
    <m/>
    <m/>
    <m/>
    <m/>
    <m/>
    <m/>
    <m/>
    <m/>
    <m/>
    <m/>
    <n v="5306.9430000000002"/>
    <n v="516.03421360000084"/>
    <m/>
    <m/>
    <m/>
    <m/>
    <n v="-11.674109999999962"/>
    <n v="562.04917999999998"/>
    <n v="30"/>
    <n v="492.25008602663002"/>
    <n v="0"/>
    <n v="0"/>
    <n v="0"/>
    <n v="0"/>
    <n v="0"/>
    <n v="0"/>
    <n v="0"/>
    <n v="0"/>
    <n v="0"/>
    <n v="0"/>
    <n v="531.86137295603203"/>
    <n v="0"/>
    <n v="0"/>
    <n v="0"/>
    <n v="35.517557421091652"/>
    <n v="0"/>
    <n v="-63.67398321987298"/>
    <m/>
    <n v="0"/>
    <n v="0"/>
    <n v="0"/>
    <n v="0"/>
    <n v="-9.3538958148745337"/>
    <n v="-2.1009653157454622"/>
    <n v="0"/>
    <n v="58.052877561546097"/>
    <m/>
    <m/>
    <m/>
    <n v="0"/>
    <n v="0"/>
    <n v="0"/>
    <n v="-11.674109999999928"/>
    <n v="562.049180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7"/>
    <s v="Regular"/>
    <s v="Verde"/>
    <s v="A4"/>
    <s v="Serviço público"/>
    <s v="Água, esgoto e saneamento"/>
    <s v="Não se aplica"/>
    <s v="Não se aplica"/>
    <s v="Não se aplica"/>
    <s v="CATIVO"/>
    <x v="5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94"/>
    <n v="608.9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5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3000000000000002E-2"/>
    <n v="3.3000000000000002E-2"/>
    <n v="3.3000000000000002E-2"/>
    <n v="3.3000000000000002E-2"/>
    <m/>
    <n v="897.25"/>
    <n v="207.07"/>
    <m/>
    <n v="36.44256"/>
    <n v="36.44256"/>
    <n v="36.553110000000004"/>
    <n v="0"/>
    <n v="2.5990883211716413"/>
    <n v="0"/>
    <n v="0"/>
    <n v="0"/>
    <n v="6.5850564364630655"/>
    <n v="18.931944503770122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.27"/>
    <n v="1.26"/>
    <n v="0"/>
    <n v="1"/>
    <m/>
    <m/>
    <m/>
    <m/>
    <m/>
    <m/>
    <m/>
    <m/>
    <m/>
    <n v="7.9043347800865913"/>
    <m/>
    <m/>
    <m/>
    <m/>
    <m/>
    <m/>
    <m/>
    <m/>
    <m/>
    <m/>
    <m/>
    <m/>
    <n v="33.2301"/>
    <n v="-3.2424600000000012"/>
    <m/>
    <m/>
    <m/>
    <m/>
    <n v="-0.9857100000000002"/>
    <n v="1.09626"/>
    <n v="30"/>
    <n v="2.4489009484985189"/>
    <n v="0"/>
    <n v="0"/>
    <n v="0"/>
    <n v="0"/>
    <n v="0"/>
    <n v="0"/>
    <n v="0"/>
    <n v="1.4162594743673642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0.57752641658526283"/>
    <m/>
    <m/>
    <m/>
    <n v="18.931944503770122"/>
    <n v="0"/>
    <n v="0"/>
    <n v="-0.98571000000000097"/>
    <n v="1.09626"/>
    <n v="0"/>
    <n v="0"/>
    <n v="-2.915849220520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0"/>
    <s v="Regular"/>
    <s v="Convencional"/>
    <s v="B2"/>
    <s v="Rural"/>
    <s v="Agropecuária rural"/>
    <s v="IRRIG./AQUIC."/>
    <s v="Não se aplica"/>
    <s v="Não se aplica"/>
    <s v="CATIVO"/>
    <x v="5"/>
    <n v="0"/>
    <n v="0"/>
    <n v="1.3660000000000001"/>
    <n v="1.3660000000000001"/>
    <n v="1.3660000000000001"/>
    <n v="1.3660000000000001"/>
    <m/>
    <n v="897.25"/>
    <n v="207.07"/>
    <m/>
    <n v="1508.5011200000001"/>
    <n v="1508.5011200000001"/>
    <n v="1513.0772200000001"/>
    <n v="0"/>
    <n v="107.58650444607461"/>
    <n v="0"/>
    <n v="0"/>
    <n v="0"/>
    <n v="272.58142703662264"/>
    <n v="783.66776339848445"/>
    <n v="282.8644093336186"/>
    <n v="0"/>
    <n v="0"/>
    <n v="0"/>
    <n v="0"/>
    <n v="0"/>
    <n v="13.672197889401785"/>
    <m/>
    <n v="3.804242230301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27145502693"/>
    <n v="0"/>
    <n v="0"/>
    <n v="0"/>
    <n v="0"/>
    <n v="0"/>
    <m/>
    <m/>
    <m/>
    <m/>
    <m/>
    <n v="181.56872000000004"/>
    <m/>
    <m/>
    <m/>
    <n v="327.19155483631158"/>
    <m/>
    <m/>
    <m/>
    <m/>
    <m/>
    <m/>
    <m/>
    <m/>
    <m/>
    <m/>
    <m/>
    <m/>
    <n v="1335.4075"/>
    <n v="7.8850399999998899"/>
    <m/>
    <m/>
    <m/>
    <m/>
    <n v="-40.802420000000012"/>
    <n v="45.378520000000002"/>
    <n v="30"/>
    <n v="101.36965744390852"/>
    <n v="0"/>
    <n v="0"/>
    <n v="0"/>
    <n v="0"/>
    <n v="0"/>
    <n v="0"/>
    <n v="0"/>
    <n v="58.624558848055131"/>
    <n v="0"/>
    <n v="0"/>
    <n v="42.941227936517521"/>
    <n v="0"/>
    <n v="0"/>
    <n v="0"/>
    <n v="6.7292384478149927"/>
    <n v="0"/>
    <n v="-5.9090651045479632"/>
    <m/>
    <n v="0"/>
    <n v="0"/>
    <n v="0"/>
    <n v="0"/>
    <n v="-0.755211400385285"/>
    <n v="-0.26109128354592226"/>
    <n v="0"/>
    <n v="23.906093486529361"/>
    <m/>
    <m/>
    <m/>
    <n v="783.66776339848445"/>
    <n v="0"/>
    <n v="0"/>
    <n v="-40.802419999999984"/>
    <n v="45.378520000000037"/>
    <n v="0"/>
    <n v="0"/>
    <n v="-120.6984859160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.9000000000000001E-2"/>
    <n v="1.1599999999999999E-2"/>
    <n v="2.9000000000000001E-2"/>
    <n v="1.1599999999999999E-2"/>
    <m/>
    <n v="897.25"/>
    <n v="207.07"/>
    <m/>
    <n v="32.025280000000002"/>
    <n v="32.025280000000002"/>
    <n v="32.122430000000001"/>
    <n v="0"/>
    <n v="2.284047312544776"/>
    <n v="0"/>
    <n v="0"/>
    <n v="0"/>
    <n v="5.7868677774978456"/>
    <n v="16.637163351797987"/>
    <n v="6.0051741366580815"/>
    <n v="0"/>
    <n v="0"/>
    <n v="0"/>
    <n v="0"/>
    <n v="0"/>
    <n v="0.29025895958466452"/>
    <m/>
    <n v="8.076356125822195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105945796346779"/>
    <n v="0"/>
    <n v="0"/>
    <n v="0"/>
    <n v="0"/>
    <n v="0"/>
    <m/>
    <m/>
    <m/>
    <m/>
    <m/>
    <m/>
    <n v="20.815330000000003"/>
    <m/>
    <m/>
    <n v="6.9462335946215497"/>
    <m/>
    <m/>
    <m/>
    <m/>
    <m/>
    <m/>
    <m/>
    <m/>
    <m/>
    <m/>
    <m/>
    <m/>
    <n v="9.7474999999999987"/>
    <n v="-1.5554959999999998"/>
    <m/>
    <m/>
    <m/>
    <m/>
    <n v="-0.86623000000000017"/>
    <n v="0.96338000000000001"/>
    <n v="30"/>
    <n v="2.1520644698926397"/>
    <n v="0"/>
    <n v="0"/>
    <n v="0"/>
    <n v="0"/>
    <n v="0"/>
    <n v="0"/>
    <n v="0"/>
    <n v="1.2445916592925323"/>
    <n v="0"/>
    <n v="0"/>
    <n v="0.91163661065813173"/>
    <n v="0"/>
    <n v="0"/>
    <n v="0"/>
    <n v="0.14286084552462286"/>
    <n v="0"/>
    <n v="-0.12544867352261413"/>
    <m/>
    <n v="0"/>
    <n v="0"/>
    <n v="0"/>
    <n v="0"/>
    <n v="-1.6033038514768116E-2"/>
    <n v="-5.5429335452648193E-3"/>
    <n v="0"/>
    <n v="0.50752321457492788"/>
    <m/>
    <m/>
    <m/>
    <n v="16.637163351797987"/>
    <n v="0"/>
    <n v="0"/>
    <n v="-0.86622999999999806"/>
    <n v="0.9633799999999999"/>
    <n v="0"/>
    <n v="0"/>
    <n v="-2.56241295136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2"/>
    <s v="Regular"/>
    <s v="Verde"/>
    <s v="A4"/>
    <s v="Rural"/>
    <s v="Agropecuária rural"/>
    <s v="Não se aplica"/>
    <s v="Não se aplica"/>
    <s v="Ponta"/>
    <s v="CATIVO"/>
    <x v="5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3"/>
    <s v="Regular"/>
    <s v="Verde"/>
    <s v="A4"/>
    <s v="Rural"/>
    <s v="Agropecuária rural"/>
    <s v="Não se aplica"/>
    <s v="Não se aplica"/>
    <s v="Fora ponta"/>
    <s v="CATIVO"/>
    <x v="5"/>
    <n v="0"/>
    <n v="0"/>
    <n v="23.448"/>
    <n v="22.510079999999999"/>
    <n v="23.448"/>
    <n v="22.510079999999999"/>
    <m/>
    <n v="94.17"/>
    <n v="207.07"/>
    <m/>
    <n v="7063.47552"/>
    <n v="7063.47552"/>
    <n v="7826.2389600000006"/>
    <n v="0"/>
    <n v="1606.6902415364955"/>
    <n v="0"/>
    <n v="0"/>
    <n v="0"/>
    <n v="0"/>
    <n v="0"/>
    <n v="4855.4939019434032"/>
    <n v="0"/>
    <n v="0"/>
    <n v="0"/>
    <n v="0"/>
    <n v="0"/>
    <n v="234.68938221866253"/>
    <m/>
    <n v="42.425384484660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24855843834115"/>
    <n v="0"/>
    <n v="0"/>
    <n v="0"/>
    <n v="0"/>
    <n v="0"/>
    <m/>
    <m/>
    <m/>
    <m/>
    <m/>
    <n v="313.04955840000059"/>
    <m/>
    <m/>
    <m/>
    <n v="5179.7424603817444"/>
    <m/>
    <m/>
    <m/>
    <m/>
    <m/>
    <m/>
    <m/>
    <m/>
    <m/>
    <m/>
    <m/>
    <m/>
    <n v="7513.1627000000008"/>
    <n v="732.19620080000004"/>
    <m/>
    <m/>
    <m/>
    <m/>
    <n v="-16.179119999999948"/>
    <n v="778.94255999999996"/>
    <n v="30"/>
    <n v="682.20816934525919"/>
    <n v="0"/>
    <n v="0"/>
    <n v="0"/>
    <n v="0"/>
    <n v="0"/>
    <n v="0"/>
    <n v="0"/>
    <n v="0"/>
    <n v="0"/>
    <n v="0"/>
    <n v="737.10535333489224"/>
    <n v="0"/>
    <n v="0"/>
    <n v="0"/>
    <n v="49.223694450603318"/>
    <n v="0"/>
    <n v="-88.245614902747093"/>
    <m/>
    <n v="0"/>
    <n v="0"/>
    <n v="0"/>
    <n v="0"/>
    <n v="-12.963540934285618"/>
    <n v="-2.9117226032034722"/>
    <n v="0"/>
    <n v="80.455338558019548"/>
    <m/>
    <m/>
    <m/>
    <n v="0"/>
    <n v="0"/>
    <n v="0"/>
    <n v="-16.179119999999784"/>
    <n v="778.94256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Agropecuária rural"/>
    <s v="Não se aplica"/>
    <s v="Não se aplica"/>
    <s v="Não se aplica"/>
    <s v="CATIVO"/>
    <x v="5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0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65"/>
    <s v="Regular"/>
    <s v="Verde"/>
    <s v="A4"/>
    <s v="Rural"/>
    <s v="Agropecuária rural"/>
    <s v="IRRIG./AQUIC. PR"/>
    <s v="Não se aplica"/>
    <s v="Fora ponta"/>
    <s v="CATIVO"/>
    <x v="5"/>
    <n v="0"/>
    <n v="0"/>
    <n v="13.875"/>
    <n v="4.1624999999999996"/>
    <n v="13.875"/>
    <n v="4.1624999999999996"/>
    <m/>
    <n v="94.17"/>
    <n v="207.07"/>
    <m/>
    <n v="4179.7049999999999"/>
    <n v="4179.7049999999999"/>
    <n v="4631.0587500000001"/>
    <n v="0"/>
    <n v="950.73469384676196"/>
    <n v="0"/>
    <n v="0"/>
    <n v="0"/>
    <n v="0"/>
    <n v="0"/>
    <n v="2873.1652119355476"/>
    <n v="0"/>
    <n v="0"/>
    <n v="0"/>
    <n v="0"/>
    <n v="0"/>
    <n v="138.87389876680069"/>
    <m/>
    <n v="25.104580762737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6918919873693"/>
    <n v="0"/>
    <n v="0"/>
    <n v="0"/>
    <n v="0"/>
    <n v="0"/>
    <m/>
    <m/>
    <m/>
    <m/>
    <m/>
    <m/>
    <n v="3241.741125"/>
    <m/>
    <m/>
    <n v="3065.0344011342845"/>
    <m/>
    <m/>
    <m/>
    <m/>
    <m/>
    <m/>
    <m/>
    <m/>
    <m/>
    <m/>
    <m/>
    <m/>
    <n v="1388.4832000000001"/>
    <n v="134.54170000000022"/>
    <m/>
    <m/>
    <m/>
    <m/>
    <n v="-9.5737499999999685"/>
    <n v="460.92750000000001"/>
    <n v="30"/>
    <n v="403.68638475202442"/>
    <n v="0"/>
    <n v="0"/>
    <n v="0"/>
    <n v="0"/>
    <n v="0"/>
    <n v="0"/>
    <n v="0"/>
    <n v="0"/>
    <n v="0"/>
    <n v="0"/>
    <n v="436.17096458212336"/>
    <n v="0"/>
    <n v="0"/>
    <n v="0"/>
    <n v="29.127378049391012"/>
    <n v="0"/>
    <n v="-52.218010353787804"/>
    <m/>
    <n v="0"/>
    <n v="0"/>
    <n v="0"/>
    <n v="0"/>
    <n v="-7.6709796342209415"/>
    <n v="-1.7229678914810727"/>
    <n v="0"/>
    <n v="47.608231938439147"/>
    <m/>
    <m/>
    <m/>
    <n v="0"/>
    <n v="0"/>
    <n v="0"/>
    <n v="-9.5737500000000182"/>
    <n v="460.9274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6.14"/>
    <n v="259.1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7"/>
    <s v="Regular"/>
    <s v="Convencional"/>
    <s v="B2"/>
    <s v="Rural"/>
    <s v="Aquicultura"/>
    <s v="IRRIG./AQUIC."/>
    <s v="Não se aplica"/>
    <s v="Não se aplica"/>
    <s v="CATIVO"/>
    <x v="5"/>
    <n v="0"/>
    <n v="0"/>
    <n v="6.6459999999999999"/>
    <n v="6.6459999999999999"/>
    <n v="6.6459999999999999"/>
    <n v="6.6459999999999999"/>
    <m/>
    <n v="897.25"/>
    <n v="207.07"/>
    <m/>
    <n v="7339.3107199999995"/>
    <n v="7339.3107199999995"/>
    <n v="7361.5748199999998"/>
    <n v="0"/>
    <n v="523.44063583353727"/>
    <n v="0"/>
    <n v="0"/>
    <n v="0"/>
    <n v="1326.190456870713"/>
    <n v="3812.7788840017038"/>
    <n v="1376.2202521458485"/>
    <n v="0"/>
    <n v="0"/>
    <n v="0"/>
    <n v="0"/>
    <n v="0"/>
    <n v="66.51934639309242"/>
    <m/>
    <n v="18.5087802800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6486750431747"/>
    <n v="0"/>
    <n v="0"/>
    <n v="0"/>
    <n v="0"/>
    <n v="0"/>
    <m/>
    <m/>
    <m/>
    <m/>
    <m/>
    <n v="883.38632000000018"/>
    <m/>
    <m/>
    <m/>
    <n v="1591.885119650166"/>
    <m/>
    <m/>
    <m/>
    <m/>
    <m/>
    <m/>
    <m/>
    <m/>
    <m/>
    <m/>
    <m/>
    <m/>
    <n v="6482.0874999999996"/>
    <n v="23.408239999998841"/>
    <m/>
    <m/>
    <m/>
    <m/>
    <n v="-198.51602000000003"/>
    <n v="220.78011999999998"/>
    <n v="30"/>
    <n v="493.19380920367303"/>
    <n v="0"/>
    <n v="0"/>
    <n v="0"/>
    <n v="0"/>
    <n v="0"/>
    <n v="0"/>
    <n v="0"/>
    <n v="285.22607474683355"/>
    <n v="0"/>
    <n v="0"/>
    <n v="208.92196256668785"/>
    <n v="0"/>
    <n v="0"/>
    <n v="0"/>
    <n v="32.739764805401478"/>
    <n v="0"/>
    <n v="-28.749375318320517"/>
    <m/>
    <n v="0"/>
    <n v="0"/>
    <n v="0"/>
    <n v="0"/>
    <n v="-3.6743301368671979"/>
    <n v="-1.270287460063102"/>
    <n v="0"/>
    <n v="116.3103201401714"/>
    <m/>
    <m/>
    <m/>
    <n v="3812.7788840017038"/>
    <n v="0"/>
    <n v="0"/>
    <n v="-198.51602000000003"/>
    <n v="220.7801199999999"/>
    <n v="0"/>
    <n v="0"/>
    <n v="-587.2343611993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quicultura"/>
    <s v="IRRIG./AQUIC. PR"/>
    <s v="Não se aplica"/>
    <s v="Não se aplica"/>
    <s v="CATIVO"/>
    <x v="5"/>
    <n v="0"/>
    <n v="0"/>
    <n v="2.016"/>
    <n v="0.80640000000000001"/>
    <n v="2.016"/>
    <n v="0.80640000000000001"/>
    <m/>
    <n v="897.25"/>
    <n v="207.07"/>
    <m/>
    <n v="2226.3091199999999"/>
    <n v="2226.3091199999999"/>
    <n v="2233.0627199999999"/>
    <n v="0"/>
    <n v="158.78066834794026"/>
    <n v="0"/>
    <n v="0"/>
    <n v="0"/>
    <n v="402.28708411847089"/>
    <n v="1156.5697005939564"/>
    <n v="417.46313998285143"/>
    <n v="0"/>
    <n v="0"/>
    <n v="0"/>
    <n v="0"/>
    <n v="0"/>
    <n v="20.178002155954609"/>
    <m/>
    <n v="5.6144599826405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19857491529342"/>
    <n v="0"/>
    <n v="0"/>
    <n v="0"/>
    <n v="0"/>
    <n v="0"/>
    <m/>
    <m/>
    <m/>
    <m/>
    <m/>
    <m/>
    <n v="1447.0243200000002"/>
    <m/>
    <m/>
    <n v="482.88299747438077"/>
    <m/>
    <m/>
    <m/>
    <m/>
    <m/>
    <m/>
    <m/>
    <m/>
    <m/>
    <m/>
    <m/>
    <m/>
    <n v="789.54750000000001"/>
    <n v="5.8499160000000074"/>
    <m/>
    <m/>
    <m/>
    <m/>
    <n v="-60.217920000000007"/>
    <n v="66.971519999999998"/>
    <n v="30"/>
    <n v="149.60558521736448"/>
    <n v="0"/>
    <n v="0"/>
    <n v="0"/>
    <n v="0"/>
    <n v="0"/>
    <n v="0"/>
    <n v="0"/>
    <n v="86.520578797715359"/>
    <n v="0"/>
    <n v="0"/>
    <n v="63.374462313337744"/>
    <n v="0"/>
    <n v="0"/>
    <n v="0"/>
    <n v="9.9312918819875762"/>
    <n v="0"/>
    <n v="-8.7208457179858385"/>
    <m/>
    <n v="0"/>
    <n v="0"/>
    <n v="0"/>
    <n v="0"/>
    <n v="-1.1145726084749157"/>
    <n v="-0.38532944921565093"/>
    <n v="0"/>
    <n v="35.281613813208779"/>
    <m/>
    <m/>
    <m/>
    <n v="1156.5697005939564"/>
    <n v="0"/>
    <n v="0"/>
    <n v="-60.217920000000049"/>
    <n v="66.971519999999998"/>
    <n v="0"/>
    <n v="0"/>
    <n v="-178.1318796536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"/>
    <s v="Não se aplica"/>
    <s v="Não se aplica"/>
    <s v="Não se aplica"/>
    <s v="CATIVO"/>
    <x v="6"/>
    <n v="0"/>
    <n v="0"/>
    <n v="800.19600000000003"/>
    <n v="800.19600000000003"/>
    <n v="800.19600000000003"/>
    <n v="800.19600000000003"/>
    <m/>
    <n v="897.25"/>
    <n v="207.07"/>
    <m/>
    <n v="883672.44672000001"/>
    <n v="883672.44672000001"/>
    <n v="886353.10331999999"/>
    <n v="0"/>
    <n v="63023.638734795844"/>
    <n v="0"/>
    <n v="0"/>
    <n v="0"/>
    <n v="159676.84303733331"/>
    <n v="459068.67467087379"/>
    <n v="165700.56287783623"/>
    <n v="0"/>
    <n v="0"/>
    <n v="0"/>
    <n v="0"/>
    <n v="0"/>
    <n v="8009.1054628900065"/>
    <m/>
    <n v="2228.5061608477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66.621173259828"/>
    <n v="0"/>
    <n v="1491.75"/>
    <n v="6908.94"/>
    <n v="0"/>
    <n v="6267"/>
    <m/>
    <m/>
    <m/>
    <m/>
    <m/>
    <m/>
    <m/>
    <m/>
    <m/>
    <n v="191667.18405109606"/>
    <m/>
    <m/>
    <m/>
    <m/>
    <m/>
    <m/>
    <m/>
    <m/>
    <m/>
    <m/>
    <m/>
    <m/>
    <n v="886357.53399999999"/>
    <n v="2685.05727999995"/>
    <m/>
    <m/>
    <m/>
    <m/>
    <n v="-23901.854520000004"/>
    <n v="26582.511119999999"/>
    <n v="31"/>
    <n v="59381.840708627889"/>
    <n v="0"/>
    <n v="0"/>
    <n v="0"/>
    <n v="0"/>
    <n v="0"/>
    <n v="0"/>
    <n v="0"/>
    <n v="34341.974737905053"/>
    <n v="0"/>
    <n v="0"/>
    <n v="25154.757562144601"/>
    <n v="0"/>
    <n v="0"/>
    <n v="0"/>
    <n v="3941.9543843248684"/>
    <n v="0"/>
    <n v="-3461.5009226931652"/>
    <m/>
    <n v="0"/>
    <n v="0"/>
    <n v="0"/>
    <n v="0"/>
    <n v="-442.39907887459867"/>
    <n v="-152.94597417885279"/>
    <n v="0"/>
    <n v="14004.070558965483"/>
    <m/>
    <m/>
    <m/>
    <n v="459068.67467087379"/>
    <n v="0"/>
    <n v="0"/>
    <n v="-23901.854520000052"/>
    <n v="26582.51112000001"/>
    <n v="0"/>
    <n v="0"/>
    <n v="-70704.57220798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66800000000000004"/>
    <n v="-0.66800000000000004"/>
    <n v="-0.66800000000000004"/>
    <n v="-0.66800000000000004"/>
    <m/>
    <n v="897.25"/>
    <n v="207.07"/>
    <m/>
    <n v="-737.68576000000007"/>
    <n v="-737.68576000000007"/>
    <n v="-739.92356000000007"/>
    <n v="0"/>
    <n v="-52.611848440686565"/>
    <n v="0"/>
    <n v="0"/>
    <n v="0"/>
    <n v="-133.29750604719175"/>
    <n v="-383.22845237934672"/>
    <n v="-138.32608011336546"/>
    <n v="0"/>
    <n v="0"/>
    <n v="0"/>
    <n v="0"/>
    <n v="0"/>
    <n v="-6.6859650000881343"/>
    <m/>
    <n v="-1.8603468593273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676817859296431"/>
    <n v="0"/>
    <n v="-2.83"/>
    <n v="-13.08"/>
    <n v="0"/>
    <n v="0"/>
    <m/>
    <m/>
    <m/>
    <m/>
    <m/>
    <m/>
    <m/>
    <m/>
    <m/>
    <n v="-160.00289797266188"/>
    <m/>
    <m/>
    <m/>
    <m/>
    <m/>
    <m/>
    <m/>
    <m/>
    <m/>
    <m/>
    <m/>
    <m/>
    <n v="-742.13890000000015"/>
    <n v="-4.4831400000000485"/>
    <m/>
    <m/>
    <m/>
    <m/>
    <n v="19.953160000000004"/>
    <n v="-22.19096"/>
    <n v="31"/>
    <n v="-49.571691927182201"/>
    <n v="0"/>
    <n v="0"/>
    <n v="0"/>
    <n v="0"/>
    <n v="0"/>
    <n v="0"/>
    <n v="0"/>
    <n v="-28.668525117496955"/>
    <n v="0"/>
    <n v="0"/>
    <n v="-20.999077790332137"/>
    <n v="0"/>
    <n v="0"/>
    <n v="0"/>
    <n v="-3.2907256831188967"/>
    <n v="0"/>
    <n v="2.8896453073484949"/>
    <m/>
    <n v="0"/>
    <n v="0"/>
    <n v="0"/>
    <n v="0"/>
    <n v="0.36931274923672763"/>
    <n v="0.12767860718058266"/>
    <n v="0"/>
    <n v="-11.690534735725924"/>
    <m/>
    <m/>
    <m/>
    <n v="-383.22845237934672"/>
    <n v="0"/>
    <n v="0"/>
    <n v="19.953160000000025"/>
    <n v="-22.19095999999999"/>
    <n v="0"/>
    <n v="0"/>
    <n v="59.0238569487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4.28"/>
    <n v="4.28"/>
    <n v="4.28"/>
    <n v="4.28"/>
    <m/>
    <n v="897.25"/>
    <n v="207.07"/>
    <m/>
    <n v="4726.4895999999999"/>
    <n v="4726.4895999999999"/>
    <n v="4740.8276000000005"/>
    <n v="0"/>
    <n v="337.09387923074621"/>
    <n v="0"/>
    <n v="0"/>
    <n v="0"/>
    <n v="854.06186509278552"/>
    <n v="2455.4158326101856"/>
    <n v="886.280872582641"/>
    <n v="0"/>
    <n v="0"/>
    <n v="0"/>
    <n v="0"/>
    <n v="0"/>
    <n v="42.838218862840144"/>
    <m/>
    <n v="11.919587661558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8739586495316"/>
    <n v="0"/>
    <n v="1.26"/>
    <n v="5.94"/>
    <n v="0"/>
    <n v="48"/>
    <m/>
    <m/>
    <m/>
    <m/>
    <m/>
    <m/>
    <m/>
    <m/>
    <m/>
    <n v="1025.1682684475941"/>
    <m/>
    <m/>
    <m/>
    <m/>
    <m/>
    <m/>
    <m/>
    <m/>
    <m/>
    <m/>
    <m/>
    <m/>
    <n v="4740.8276000000005"/>
    <n v="14.307999999999993"/>
    <m/>
    <m/>
    <m/>
    <m/>
    <n v="-127.84360000000002"/>
    <n v="142.1816"/>
    <n v="31"/>
    <n v="317.61503210829278"/>
    <n v="0"/>
    <n v="0"/>
    <n v="0"/>
    <n v="0"/>
    <n v="0"/>
    <n v="0"/>
    <n v="0"/>
    <n v="183.68456213007028"/>
    <n v="0"/>
    <n v="0"/>
    <n v="134.54498943506223"/>
    <n v="0"/>
    <n v="0"/>
    <n v="0"/>
    <n v="21.084290305013326"/>
    <n v="0"/>
    <n v="-18.514493885406466"/>
    <m/>
    <n v="0"/>
    <n v="0"/>
    <n v="0"/>
    <n v="0"/>
    <n v="-2.3662553394209525"/>
    <n v="-0.81806053702528914"/>
    <n v="0"/>
    <n v="74.903426151058326"/>
    <m/>
    <m/>
    <m/>
    <n v="2455.4158326101856"/>
    <n v="0"/>
    <n v="0"/>
    <n v="-127.8435999999997"/>
    <n v="142.1816"/>
    <n v="0"/>
    <n v="0"/>
    <n v="-378.1768079947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.4300000000000002"/>
    <n v="2.4300000000000002"/>
    <n v="2.4300000000000002"/>
    <n v="2.4300000000000002"/>
    <m/>
    <n v="808.48"/>
    <n v="207.07"/>
    <m/>
    <n v="2467.7865000000002"/>
    <n v="2467.7865000000002"/>
    <n v="2483.9946"/>
    <n v="0"/>
    <n v="0"/>
    <n v="0"/>
    <n v="0"/>
    <n v="0"/>
    <n v="484.8996103213712"/>
    <n v="1394.0795498230725"/>
    <n v="503.19217765790131"/>
    <n v="0"/>
    <n v="0"/>
    <n v="0"/>
    <n v="0"/>
    <n v="0"/>
    <n v="0"/>
    <m/>
    <n v="6.7674294433613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854292512111272"/>
    <n v="0"/>
    <n v="2.52"/>
    <n v="11.94"/>
    <n v="0"/>
    <n v="2"/>
    <m/>
    <m/>
    <m/>
    <m/>
    <m/>
    <m/>
    <m/>
    <n v="1614.5891999999999"/>
    <m/>
    <n v="582.04647017001253"/>
    <m/>
    <m/>
    <m/>
    <m/>
    <m/>
    <m/>
    <m/>
    <m/>
    <m/>
    <m/>
    <m/>
    <m/>
    <n v="869.4054000000001"/>
    <n v="5.6318999999999733"/>
    <m/>
    <m/>
    <m/>
    <m/>
    <n v="-64.516500000000164"/>
    <n v="80.724600000000009"/>
    <n v="31"/>
    <n v="192.1833524858605"/>
    <n v="0"/>
    <n v="0"/>
    <n v="0"/>
    <n v="0"/>
    <n v="0"/>
    <n v="0"/>
    <n v="0"/>
    <n v="104.28819765796044"/>
    <n v="0"/>
    <n v="0"/>
    <n v="76.388860824112385"/>
    <n v="0"/>
    <n v="0"/>
    <n v="0"/>
    <n v="11.970753607752869"/>
    <n v="0"/>
    <n v="0"/>
    <m/>
    <n v="0"/>
    <n v="0"/>
    <n v="0"/>
    <n v="0"/>
    <n v="0"/>
    <n v="-0.46445960396529351"/>
    <n v="0"/>
    <n v="38.747819414128259"/>
    <m/>
    <m/>
    <m/>
    <n v="1394.0795498230725"/>
    <n v="0"/>
    <n v="0"/>
    <n v="-64.516500000000178"/>
    <n v="80.724600000000009"/>
    <n v="0"/>
    <n v="0"/>
    <n v="-214.7125335110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.9409999999999998"/>
    <n v="4.9409999999999998"/>
    <n v="4.9409999999999998"/>
    <n v="4.9409999999999998"/>
    <m/>
    <n v="808.48"/>
    <n v="207.07"/>
    <m/>
    <n v="5017.8325500000001"/>
    <n v="5017.8325500000001"/>
    <n v="5050.7890199999993"/>
    <n v="0"/>
    <n v="0"/>
    <n v="0"/>
    <n v="0"/>
    <n v="0"/>
    <n v="985.96254098678799"/>
    <n v="2834.6284179735808"/>
    <n v="1023.1574279043992"/>
    <n v="0"/>
    <n v="0"/>
    <n v="0"/>
    <n v="0"/>
    <n v="0"/>
    <n v="0"/>
    <m/>
    <n v="13.76043986816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33706144129289"/>
    <n v="0"/>
    <n v="8.4499999999999993"/>
    <n v="39.08"/>
    <n v="0"/>
    <n v="19"/>
    <m/>
    <m/>
    <m/>
    <m/>
    <m/>
    <m/>
    <m/>
    <n v="2020.2760799999996"/>
    <m/>
    <n v="1183.494489345692"/>
    <m/>
    <m/>
    <m/>
    <m/>
    <m/>
    <m/>
    <m/>
    <m/>
    <m/>
    <m/>
    <m/>
    <m/>
    <n v="3029.8996000000006"/>
    <n v="19.170070000000578"/>
    <m/>
    <m/>
    <m/>
    <m/>
    <n v="-131.18355000000034"/>
    <n v="164.14001999999999"/>
    <n v="31"/>
    <n v="390.77281672124946"/>
    <n v="0"/>
    <n v="0"/>
    <n v="0"/>
    <n v="0"/>
    <n v="0"/>
    <n v="0"/>
    <n v="0"/>
    <n v="212.05266857118625"/>
    <n v="0"/>
    <n v="0"/>
    <n v="155.32401700902858"/>
    <n v="0"/>
    <n v="0"/>
    <n v="0"/>
    <n v="24.340532335764181"/>
    <n v="0"/>
    <n v="0"/>
    <m/>
    <n v="0"/>
    <n v="0"/>
    <n v="0"/>
    <n v="0"/>
    <n v="0"/>
    <n v="-0.94440119472942996"/>
    <n v="0"/>
    <n v="78.787232808727452"/>
    <m/>
    <m/>
    <m/>
    <n v="2834.6284179735808"/>
    <n v="0"/>
    <n v="0"/>
    <n v="-131.18355000000065"/>
    <n v="164.14002000000005"/>
    <n v="0"/>
    <n v="0"/>
    <n v="-436.5821514724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.8450000000000002"/>
    <n v="2.8450000000000002"/>
    <n v="2.8450000000000002"/>
    <n v="2.8450000000000002"/>
    <m/>
    <n v="808.48"/>
    <n v="207.07"/>
    <m/>
    <n v="2889.2397500000002"/>
    <n v="2889.2397500000002"/>
    <n v="2908.2159000000001"/>
    <n v="0"/>
    <n v="0"/>
    <n v="0"/>
    <n v="0"/>
    <n v="0"/>
    <n v="567.71168368901283"/>
    <n v="1632.1630943401817"/>
    <n v="589.12829030318073"/>
    <n v="0"/>
    <n v="0"/>
    <n v="0"/>
    <n v="0"/>
    <n v="0"/>
    <n v="0"/>
    <m/>
    <n v="7.9231838544703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321177858829856"/>
    <n v="0"/>
    <n v="7.54"/>
    <n v="35.04"/>
    <n v="0"/>
    <n v="54"/>
    <m/>
    <m/>
    <m/>
    <m/>
    <m/>
    <m/>
    <m/>
    <n v="290.81589999999983"/>
    <m/>
    <n v="681.44946816201059"/>
    <m/>
    <m/>
    <m/>
    <m/>
    <m/>
    <m/>
    <m/>
    <m/>
    <m/>
    <m/>
    <m/>
    <m/>
    <n v="2622"/>
    <n v="21.639999999998963"/>
    <m/>
    <m/>
    <m/>
    <m/>
    <n v="-75.534750000000201"/>
    <n v="94.510900000000007"/>
    <n v="31"/>
    <n v="225.00478922727279"/>
    <n v="0"/>
    <n v="0"/>
    <n v="0"/>
    <n v="0"/>
    <n v="0"/>
    <n v="0"/>
    <n v="0"/>
    <n v="122.09873347197424"/>
    <n v="0"/>
    <n v="0"/>
    <n v="89.434695080082292"/>
    <n v="0"/>
    <n v="0"/>
    <n v="0"/>
    <n v="14.015141569570758"/>
    <n v="0"/>
    <n v="0"/>
    <m/>
    <n v="0"/>
    <n v="0"/>
    <n v="0"/>
    <n v="0"/>
    <n v="0"/>
    <n v="-0.54378089435442778"/>
    <n v="0"/>
    <n v="45.365245363454683"/>
    <m/>
    <m/>
    <m/>
    <n v="1632.1630943401817"/>
    <n v="0"/>
    <n v="0"/>
    <n v="-75.534750000000258"/>
    <n v="94.510899999999992"/>
    <n v="0"/>
    <n v="0"/>
    <n v="-251.3815464357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43"/>
    <n v="0.43"/>
    <n v="0.43"/>
    <n v="0.43"/>
    <m/>
    <n v="808.48"/>
    <n v="207.07"/>
    <m/>
    <n v="436.68650000000002"/>
    <n v="436.68650000000002"/>
    <n v="439.55459999999999"/>
    <n v="0"/>
    <n v="0"/>
    <n v="0"/>
    <n v="0"/>
    <n v="0"/>
    <n v="85.805280838761149"/>
    <n v="246.6889738370046"/>
    <n v="89.042237198723271"/>
    <n v="0"/>
    <n v="0"/>
    <n v="0"/>
    <n v="0"/>
    <n v="0"/>
    <n v="0"/>
    <m/>
    <n v="1.197528666932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53640238768658"/>
    <n v="0"/>
    <n v="1.9"/>
    <n v="8.76"/>
    <n v="0"/>
    <n v="6"/>
    <m/>
    <m/>
    <m/>
    <m/>
    <m/>
    <m/>
    <m/>
    <m/>
    <m/>
    <n v="102.99587743749193"/>
    <m/>
    <m/>
    <m/>
    <m/>
    <m/>
    <m/>
    <m/>
    <m/>
    <m/>
    <m/>
    <m/>
    <m/>
    <n v="439.55459999999999"/>
    <n v="2.8380999999999972"/>
    <m/>
    <m/>
    <m/>
    <m/>
    <n v="-11.416500000000029"/>
    <n v="14.284599999999999"/>
    <n v="31"/>
    <n v="34.007753732065822"/>
    <n v="0"/>
    <n v="0"/>
    <n v="0"/>
    <n v="0"/>
    <n v="0"/>
    <n v="0"/>
    <n v="0"/>
    <n v="18.454290120544442"/>
    <n v="0"/>
    <n v="0"/>
    <n v="13.517370433896431"/>
    <n v="0"/>
    <n v="0"/>
    <n v="0"/>
    <n v="2.118281502606477"/>
    <n v="0"/>
    <n v="0"/>
    <m/>
    <n v="0"/>
    <n v="0"/>
    <n v="0"/>
    <n v="0"/>
    <n v="0"/>
    <n v="-8.2188324981512739E-2"/>
    <n v="0"/>
    <n v="6.8566100197840116"/>
    <m/>
    <m/>
    <m/>
    <n v="246.6889738370046"/>
    <n v="0"/>
    <n v="0"/>
    <n v="-11.416500000000042"/>
    <n v="14.284599999999998"/>
    <n v="0"/>
    <n v="0"/>
    <n v="-37.99439893405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6"/>
    <s v="Regular"/>
    <s v="Branca"/>
    <s v="B1"/>
    <s v="Residencial"/>
    <s v="Residencial"/>
    <s v="Não se aplica"/>
    <s v="Não se aplica"/>
    <s v="Fora ponta"/>
    <s v="CATIVO"/>
    <x v="6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78"/>
    <s v="Regular"/>
    <s v="Convencional"/>
    <s v="B3"/>
    <s v="Industrial"/>
    <s v="Não se aplica"/>
    <s v="Não se aplica"/>
    <s v="Não se aplica"/>
    <s v="Não se aplica"/>
    <s v="CATIVO"/>
    <x v="6"/>
    <n v="0"/>
    <n v="0"/>
    <n v="5.6470000000000002"/>
    <n v="5.6470000000000002"/>
    <n v="5.6470000000000002"/>
    <n v="5.6470000000000002"/>
    <m/>
    <n v="897.25"/>
    <n v="207.07"/>
    <m/>
    <n v="6236.0950400000002"/>
    <n v="6236.0950400000002"/>
    <n v="6255.0124900000001"/>
    <n v="0"/>
    <n v="444.75914392897755"/>
    <n v="0"/>
    <n v="0"/>
    <n v="0"/>
    <n v="1126.8428392941494"/>
    <n v="3239.6572912966631"/>
    <n v="1169.3523568864891"/>
    <n v="0"/>
    <n v="0"/>
    <n v="0"/>
    <n v="0"/>
    <n v="0"/>
    <n v="56.520425681882777"/>
    <m/>
    <n v="15.726614842247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24699169378283"/>
    <n v="0"/>
    <n v="0"/>
    <n v="0"/>
    <n v="0"/>
    <n v="9"/>
    <m/>
    <m/>
    <m/>
    <m/>
    <m/>
    <m/>
    <m/>
    <m/>
    <m/>
    <n v="1352.5993485802719"/>
    <m/>
    <m/>
    <m/>
    <m/>
    <m/>
    <m/>
    <m/>
    <m/>
    <m/>
    <m/>
    <m/>
    <m/>
    <n v="6258.3355000000001"/>
    <n v="22.21045999999933"/>
    <m/>
    <m/>
    <m/>
    <m/>
    <n v="-168.67589000000004"/>
    <n v="187.59334000000001"/>
    <n v="31"/>
    <n v="419.0588986718526"/>
    <n v="0"/>
    <n v="0"/>
    <n v="0"/>
    <n v="0"/>
    <n v="0"/>
    <n v="0"/>
    <n v="0"/>
    <n v="242.35203793189407"/>
    <n v="0"/>
    <n v="0"/>
    <n v="177.51765311677491"/>
    <n v="0"/>
    <n v="0"/>
    <n v="0"/>
    <n v="27.818454988880887"/>
    <n v="0"/>
    <n v="-24.427884806282805"/>
    <m/>
    <n v="0"/>
    <n v="0"/>
    <n v="0"/>
    <n v="0"/>
    <n v="-3.1220196032032987"/>
    <n v="-1.079342956210704"/>
    <n v="0"/>
    <n v="98.827020438090258"/>
    <m/>
    <m/>
    <m/>
    <n v="3239.6572912966631"/>
    <n v="0"/>
    <n v="0"/>
    <n v="-168.67589000000044"/>
    <n v="187.5933399999999"/>
    <n v="0"/>
    <n v="0"/>
    <n v="-498.9636529781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43099999999999999"/>
    <n v="0.43099999999999999"/>
    <n v="0.43099999999999999"/>
    <n v="0.43099999999999999"/>
    <m/>
    <n v="897.25"/>
    <n v="207.07"/>
    <m/>
    <n v="475.96191999999996"/>
    <n v="475.96191999999996"/>
    <n v="477.40576999999996"/>
    <n v="0"/>
    <n v="33.945668679544767"/>
    <n v="0"/>
    <n v="0"/>
    <n v="0"/>
    <n v="86.004828003502453"/>
    <n v="247.26266912499764"/>
    <n v="89.249312168952869"/>
    <n v="0"/>
    <n v="0"/>
    <n v="0"/>
    <n v="0"/>
    <n v="0"/>
    <n v="4.3138486752065655"/>
    <m/>
    <n v="1.2003136173204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8609056490533"/>
    <n v="0"/>
    <n v="0"/>
    <n v="0"/>
    <n v="0"/>
    <n v="1"/>
    <m/>
    <m/>
    <m/>
    <m/>
    <m/>
    <m/>
    <m/>
    <m/>
    <m/>
    <n v="103.23540273385819"/>
    <m/>
    <m/>
    <m/>
    <m/>
    <m/>
    <m/>
    <m/>
    <m/>
    <m/>
    <m/>
    <m/>
    <m/>
    <n v="476.29809999999998"/>
    <n v="0.30618000000004031"/>
    <m/>
    <m/>
    <m/>
    <m/>
    <n v="-12.873970000000002"/>
    <n v="14.317819999999999"/>
    <n v="31"/>
    <n v="31.984130569783702"/>
    <n v="0"/>
    <n v="0"/>
    <n v="0"/>
    <n v="0"/>
    <n v="0"/>
    <n v="0"/>
    <n v="0"/>
    <n v="18.497207074313152"/>
    <n v="0"/>
    <n v="0"/>
    <n v="13.548806179091528"/>
    <n v="0"/>
    <n v="0"/>
    <n v="0"/>
    <n v="2.1232077386590493"/>
    <n v="0"/>
    <n v="-1.8644268375257411"/>
    <m/>
    <n v="0"/>
    <n v="0"/>
    <n v="0"/>
    <n v="0"/>
    <n v="-0.23828412413327804"/>
    <n v="-8.2379460621004652E-2"/>
    <n v="0"/>
    <n v="7.5428450166135832"/>
    <m/>
    <m/>
    <m/>
    <n v="247.26266912499764"/>
    <n v="0"/>
    <n v="0"/>
    <n v="-12.873969999999986"/>
    <n v="14.317819999999998"/>
    <n v="0"/>
    <n v="0"/>
    <n v="-38.0827580013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0"/>
    <s v="Regular"/>
    <s v="Verde"/>
    <s v="A4"/>
    <s v="Industrial"/>
    <s v="Não se aplica"/>
    <s v="Não se aplica"/>
    <s v="Não se aplica"/>
    <s v="Ponta"/>
    <s v="CATIVO"/>
    <x v="6"/>
    <n v="0"/>
    <n v="0"/>
    <n v="0.94399999999999995"/>
    <n v="0.94399999999999995"/>
    <n v="0.94399999999999995"/>
    <n v="0.94399999999999995"/>
    <m/>
    <n v="4750.8599999999997"/>
    <n v="207.07"/>
    <m/>
    <n v="4680.2859199999994"/>
    <n v="4680.2859199999994"/>
    <n v="4559.4916799999992"/>
    <n v="0"/>
    <n v="64.684219891267986"/>
    <n v="0"/>
    <n v="0"/>
    <n v="0"/>
    <n v="1215.2466093727401"/>
    <n v="3180.6699670434855"/>
    <n v="195.47877189673201"/>
    <n v="0"/>
    <n v="0"/>
    <n v="0"/>
    <n v="0"/>
    <n v="0"/>
    <n v="9.4484295809628716"/>
    <m/>
    <n v="1.7080161614431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54019070530281"/>
    <n v="0"/>
    <n v="0"/>
    <n v="0"/>
    <n v="0"/>
    <n v="0"/>
    <m/>
    <m/>
    <m/>
    <m/>
    <m/>
    <m/>
    <m/>
    <m/>
    <m/>
    <n v="208.53279096726229"/>
    <m/>
    <m/>
    <m/>
    <m/>
    <m/>
    <m/>
    <m/>
    <m/>
    <m/>
    <m/>
    <m/>
    <m/>
    <n v="4540.1718000000001"/>
    <n v="-140.14411999999993"/>
    <m/>
    <m/>
    <m/>
    <m/>
    <n v="-152.1539199999994"/>
    <n v="31.359679999999997"/>
    <n v="31"/>
    <n v="288.83041104668882"/>
    <n v="0"/>
    <n v="0"/>
    <n v="0"/>
    <n v="0"/>
    <n v="0"/>
    <n v="0"/>
    <n v="0"/>
    <n v="261.365189626443"/>
    <n v="0"/>
    <n v="0"/>
    <n v="29.675343464181935"/>
    <n v="0"/>
    <n v="0"/>
    <n v="0"/>
    <n v="1.9817113426036137"/>
    <n v="0"/>
    <n v="-3.5527064341604131"/>
    <m/>
    <n v="0"/>
    <n v="0"/>
    <n v="0"/>
    <n v="0"/>
    <n v="-0.52190304682555499"/>
    <n v="-0.11722390555373918"/>
    <n v="0"/>
    <n v="80.253540112902613"/>
    <m/>
    <m/>
    <m/>
    <n v="3180.6699670434855"/>
    <n v="0"/>
    <n v="0"/>
    <n v="-152.15391999999974"/>
    <n v="31.359679999999997"/>
    <n v="0"/>
    <n v="0"/>
    <n v="-489.8785775697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1"/>
    <s v="Regular"/>
    <s v="Verde"/>
    <s v="A4"/>
    <s v="Industrial"/>
    <s v="Não se aplica"/>
    <s v="Não se aplica"/>
    <s v="Não se aplica"/>
    <s v="Fora ponta"/>
    <s v="CATIVO"/>
    <x v="6"/>
    <n v="0"/>
    <n v="0"/>
    <n v="99.957999999999998"/>
    <n v="99.957999999999998"/>
    <n v="99.957999999999998"/>
    <n v="99.957999999999998"/>
    <m/>
    <n v="94.17"/>
    <n v="207.07"/>
    <m/>
    <n v="30111.34792"/>
    <n v="30111.34792"/>
    <n v="33362.981660000005"/>
    <n v="0"/>
    <n v="6849.2640380205139"/>
    <n v="0"/>
    <n v="0"/>
    <n v="0"/>
    <n v="0"/>
    <n v="0"/>
    <n v="20698.799874209257"/>
    <n v="0"/>
    <n v="0"/>
    <n v="0"/>
    <n v="0"/>
    <n v="0"/>
    <n v="1000.4725890401343"/>
    <m/>
    <n v="180.8579231626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2.2602100127817"/>
    <n v="0"/>
    <n v="0"/>
    <n v="0"/>
    <n v="0"/>
    <n v="0"/>
    <m/>
    <m/>
    <m/>
    <m/>
    <m/>
    <m/>
    <m/>
    <m/>
    <m/>
    <n v="22081.060084222037"/>
    <m/>
    <m/>
    <m/>
    <m/>
    <m/>
    <m/>
    <m/>
    <m/>
    <m/>
    <m/>
    <m/>
    <m/>
    <n v="33363.6492"/>
    <n v="3252.2712800000045"/>
    <m/>
    <m/>
    <m/>
    <m/>
    <n v="-68.971019999999768"/>
    <n v="3320.6047599999997"/>
    <n v="31"/>
    <n v="2908.229452039126"/>
    <n v="0"/>
    <n v="0"/>
    <n v="0"/>
    <n v="0"/>
    <n v="0"/>
    <n v="0"/>
    <n v="0"/>
    <n v="0"/>
    <n v="0"/>
    <n v="0"/>
    <n v="3142.2542182126053"/>
    <n v="0"/>
    <n v="0"/>
    <n v="0"/>
    <n v="209.83887964403812"/>
    <n v="0"/>
    <n v="-376.18795523920107"/>
    <m/>
    <n v="0"/>
    <n v="0"/>
    <n v="0"/>
    <n v="0"/>
    <n v="-55.263119443420351"/>
    <n v="-12.41257113489479"/>
    <n v="0"/>
    <n v="342.97828094432435"/>
    <m/>
    <m/>
    <m/>
    <n v="0"/>
    <n v="0"/>
    <n v="0"/>
    <n v="-68.971019999999044"/>
    <n v="3320.6047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2"/>
    <s v="Regular"/>
    <s v="Verde"/>
    <s v="A4"/>
    <s v="Industrial"/>
    <s v="Não se aplica"/>
    <s v="Não se aplica"/>
    <s v="Não se aplica"/>
    <s v="Não se aplica"/>
    <s v="CATIVO"/>
    <x v="6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83"/>
    <s v="Regular"/>
    <s v="Convencional"/>
    <s v="B3"/>
    <s v="Comercial"/>
    <s v="Não se aplica"/>
    <s v="Não se aplica"/>
    <s v="Não se aplica"/>
    <s v="Não se aplica"/>
    <s v="CATIVO"/>
    <x v="6"/>
    <n v="0"/>
    <n v="0"/>
    <n v="102.13800000000001"/>
    <n v="102.13800000000001"/>
    <n v="102.13800000000001"/>
    <n v="102.13800000000001"/>
    <m/>
    <n v="897.25"/>
    <n v="207.07"/>
    <m/>
    <n v="112793.03616"/>
    <n v="112793.03616"/>
    <n v="113135.19846"/>
    <n v="0"/>
    <n v="8044.4146347827009"/>
    <n v="0"/>
    <n v="0"/>
    <n v="0"/>
    <n v="20381.348312347411"/>
    <n v="58596.089325032503"/>
    <n v="21150.223309309764"/>
    <n v="0"/>
    <n v="0"/>
    <n v="0"/>
    <n v="0"/>
    <n v="0"/>
    <n v="1022.2920556571884"/>
    <m/>
    <n v="284.4492627514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4.4114109473335"/>
    <n v="0"/>
    <n v="175.39"/>
    <n v="810.34"/>
    <n v="0"/>
    <n v="237"/>
    <m/>
    <m/>
    <m/>
    <m/>
    <m/>
    <m/>
    <m/>
    <m/>
    <m/>
    <n v="24464.634720257098"/>
    <m/>
    <m/>
    <m/>
    <m/>
    <m/>
    <m/>
    <m/>
    <m/>
    <m/>
    <m/>
    <m/>
    <m/>
    <n v="113137.41379999999"/>
    <n v="344.34764000000723"/>
    <m/>
    <m/>
    <m/>
    <m/>
    <n v="-3050.8620600000008"/>
    <n v="3393.0243599999999"/>
    <n v="31"/>
    <n v="7579.5710629618698"/>
    <n v="0"/>
    <n v="0"/>
    <n v="0"/>
    <n v="0"/>
    <n v="0"/>
    <n v="0"/>
    <n v="0"/>
    <n v="4383.4518240282996"/>
    <n v="0"/>
    <n v="0"/>
    <n v="3210.784142737939"/>
    <n v="0"/>
    <n v="0"/>
    <n v="0"/>
    <n v="503.15589793772187"/>
    <n v="0"/>
    <n v="-441.83022814664673"/>
    <m/>
    <n v="0"/>
    <n v="0"/>
    <n v="0"/>
    <n v="0"/>
    <n v="-56.468361649013218"/>
    <n v="-19.522211946422715"/>
    <n v="0"/>
    <n v="1787.4967617328959"/>
    <m/>
    <m/>
    <m/>
    <n v="58596.089325032503"/>
    <n v="0"/>
    <n v="0"/>
    <n v="-3050.8620599999995"/>
    <n v="3393.0243599999994"/>
    <n v="0"/>
    <n v="0"/>
    <n v="-9024.818414712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91300000000000003"/>
    <n v="0.91300000000000003"/>
    <n v="0.91300000000000003"/>
    <n v="0.91300000000000003"/>
    <m/>
    <n v="897.25"/>
    <n v="207.07"/>
    <m/>
    <n v="1008.24416"/>
    <n v="1008.24416"/>
    <n v="1011.30271"/>
    <n v="0"/>
    <n v="71.908110219082076"/>
    <n v="0"/>
    <n v="0"/>
    <n v="0"/>
    <n v="182.18656140881149"/>
    <n v="523.78379793763997"/>
    <n v="189.05944781961477"/>
    <n v="0"/>
    <n v="0"/>
    <n v="0"/>
    <n v="0"/>
    <n v="0"/>
    <n v="9.1381527620965066"/>
    <m/>
    <n v="2.542659704439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7147762780897"/>
    <n v="0"/>
    <n v="4.3099999999999996"/>
    <n v="19.940000000000001"/>
    <n v="0"/>
    <n v="7"/>
    <m/>
    <m/>
    <m/>
    <m/>
    <m/>
    <m/>
    <m/>
    <m/>
    <m/>
    <n v="218.68659558239568"/>
    <m/>
    <m/>
    <m/>
    <m/>
    <m/>
    <m/>
    <m/>
    <m/>
    <m/>
    <m/>
    <m/>
    <m/>
    <n v="1007.9797"/>
    <n v="-0.2944599999999582"/>
    <m/>
    <m/>
    <m/>
    <m/>
    <n v="-27.271310000000007"/>
    <n v="30.32986"/>
    <n v="31"/>
    <n v="67.752926241792352"/>
    <n v="0"/>
    <n v="0"/>
    <n v="0"/>
    <n v="0"/>
    <n v="0"/>
    <n v="0"/>
    <n v="0"/>
    <n v="39.183178790830397"/>
    <n v="0"/>
    <n v="0"/>
    <n v="28.700835363133592"/>
    <n v="0"/>
    <n v="0"/>
    <n v="0"/>
    <n v="4.4976535159993354"/>
    <n v="0"/>
    <n v="-3.9494703077981512"/>
    <m/>
    <n v="0"/>
    <n v="0"/>
    <n v="0"/>
    <n v="0"/>
    <n v="-0.50476428151666397"/>
    <n v="-0.17450683885609575"/>
    <n v="0"/>
    <n v="15.978230858858936"/>
    <m/>
    <m/>
    <m/>
    <n v="523.78379793763997"/>
    <n v="0"/>
    <n v="0"/>
    <n v="-27.271309999999971"/>
    <n v="30.329859999999996"/>
    <n v="0"/>
    <n v="0"/>
    <n v="-80.67182843439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5"/>
    <s v="Regular"/>
    <s v="Azul"/>
    <s v="A4"/>
    <s v="Comercial"/>
    <s v="Não se aplica"/>
    <s v="Não se aplica"/>
    <s v="Não se aplica"/>
    <s v="Ponta"/>
    <s v="CATIVO"/>
    <x v="6"/>
    <n v="100"/>
    <n v="100"/>
    <n v="3.105"/>
    <n v="3.105"/>
    <n v="3.105"/>
    <n v="3.105"/>
    <n v="193.63"/>
    <n v="94.17"/>
    <n v="207.07"/>
    <n v="19363"/>
    <n v="935.35020000000009"/>
    <n v="20298.350200000001"/>
    <n v="19731.355850000004"/>
    <n v="0"/>
    <n v="212.75900716354565"/>
    <n v="0"/>
    <n v="0"/>
    <n v="0"/>
    <n v="5352.7545792855199"/>
    <n v="14009.762805225198"/>
    <n v="642.96778256287394"/>
    <n v="0"/>
    <n v="0"/>
    <n v="0"/>
    <n v="0"/>
    <n v="0"/>
    <n v="31.077726534840803"/>
    <m/>
    <n v="5.6179980733909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3721315042005"/>
    <n v="0"/>
    <n v="0"/>
    <n v="0"/>
    <n v="0"/>
    <n v="0"/>
    <m/>
    <m/>
    <m/>
    <m/>
    <m/>
    <m/>
    <m/>
    <m/>
    <m/>
    <n v="685.90499571329394"/>
    <m/>
    <m/>
    <m/>
    <m/>
    <m/>
    <m/>
    <m/>
    <m/>
    <m/>
    <m/>
    <m/>
    <m/>
    <n v="19733.024699999998"/>
    <n v="-565.35549999999785"/>
    <m/>
    <m/>
    <m/>
    <m/>
    <n v="-670.14245000000062"/>
    <n v="103.1481"/>
    <n v="31"/>
    <n v="1241.5646497462039"/>
    <n v="0"/>
    <n v="0"/>
    <n v="0"/>
    <n v="0"/>
    <n v="0"/>
    <n v="0"/>
    <n v="0"/>
    <n v="1151.2261831043998"/>
    <n v="0"/>
    <n v="0"/>
    <n v="97.6079888308102"/>
    <n v="0"/>
    <n v="0"/>
    <n v="0"/>
    <n v="6.5182348715934495"/>
    <n v="0"/>
    <n v="-11.68554393863144"/>
    <m/>
    <n v="0"/>
    <n v="0"/>
    <n v="0"/>
    <n v="0"/>
    <n v="-1.7166408478743094"/>
    <n v="-0.38557227409360273"/>
    <n v="0"/>
    <n v="349.8764733340949"/>
    <m/>
    <m/>
    <n v="14009.762805225198"/>
    <n v="0"/>
    <n v="0"/>
    <n v="0"/>
    <n v="-670.14244999999937"/>
    <n v="103.148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6"/>
    <s v="Regular"/>
    <s v="Azul"/>
    <s v="A4"/>
    <s v="Comercial"/>
    <s v="Não se aplica"/>
    <s v="Não se aplica"/>
    <s v="Não se aplica"/>
    <s v="Fora ponta"/>
    <s v="CATIVO"/>
    <x v="6"/>
    <n v="100"/>
    <n v="100"/>
    <n v="30.068999999999999"/>
    <n v="30.068999999999999"/>
    <n v="30.068999999999999"/>
    <n v="30.068999999999999"/>
    <n v="73.75"/>
    <n v="94.17"/>
    <n v="207.07"/>
    <n v="7375"/>
    <n v="9057.9855599999992"/>
    <n v="16432.985560000001"/>
    <n v="17477.130129999998"/>
    <n v="0"/>
    <n v="2060.3705592272636"/>
    <n v="0"/>
    <n v="0"/>
    <n v="0"/>
    <n v="2905.8255513392301"/>
    <n v="4469.1623472813199"/>
    <n v="6226.537279833512"/>
    <n v="0"/>
    <n v="0"/>
    <n v="0"/>
    <n v="0"/>
    <n v="0"/>
    <n v="300.95850537073369"/>
    <m/>
    <n v="54.405019023766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80646126247353"/>
    <n v="0"/>
    <n v="0"/>
    <n v="0"/>
    <n v="0"/>
    <n v="0"/>
    <m/>
    <m/>
    <m/>
    <m/>
    <m/>
    <m/>
    <m/>
    <m/>
    <m/>
    <n v="6642.3437410959859"/>
    <m/>
    <m/>
    <m/>
    <m/>
    <m/>
    <m/>
    <m/>
    <m/>
    <m/>
    <m/>
    <m/>
    <m/>
    <n v="17477.463900000002"/>
    <n v="1044.4483400000063"/>
    <m/>
    <m/>
    <m/>
    <m/>
    <n v="45.252389999999728"/>
    <n v="998.89217999999994"/>
    <n v="31"/>
    <n v="1499.8038739184412"/>
    <n v="0"/>
    <n v="0"/>
    <n v="0"/>
    <n v="0"/>
    <n v="0"/>
    <n v="0"/>
    <n v="0"/>
    <n v="624.9609259466497"/>
    <n v="0"/>
    <n v="0"/>
    <n v="945.24142227170159"/>
    <n v="0"/>
    <n v="0"/>
    <n v="0"/>
    <n v="63.122964365199209"/>
    <n v="0"/>
    <n v="-113.16348492454358"/>
    <m/>
    <n v="0"/>
    <n v="0"/>
    <n v="0"/>
    <n v="0"/>
    <n v="-16.624049486226284"/>
    <n v="-3.7339042543383343"/>
    <n v="0"/>
    <n v="232.37991534485118"/>
    <m/>
    <m/>
    <n v="4469.1623472813199"/>
    <n v="0"/>
    <n v="0"/>
    <n v="0"/>
    <n v="45.25238999999965"/>
    <n v="998.89217999999983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7"/>
    <s v="Regular"/>
    <s v="Azul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2.79000000000002"/>
    <n v="1305.2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88"/>
    <s v="Regular"/>
    <s v="Verde"/>
    <s v="A4"/>
    <s v="Comercial"/>
    <s v="Não se aplica"/>
    <s v="Não se aplica"/>
    <s v="Não se aplica"/>
    <s v="Ponta"/>
    <s v="CATIVO"/>
    <x v="6"/>
    <n v="0"/>
    <n v="0"/>
    <n v="0.47"/>
    <n v="0.47"/>
    <n v="0.47"/>
    <n v="0.47"/>
    <m/>
    <n v="4750.8599999999997"/>
    <n v="207.07"/>
    <m/>
    <n v="2330.2271000000001"/>
    <n v="2330.2271000000001"/>
    <n v="2270.0859"/>
    <n v="0"/>
    <n v="32.205067106881302"/>
    <n v="0"/>
    <n v="0"/>
    <n v="0"/>
    <n v="605.04862966651251"/>
    <n v="1583.5962759644472"/>
    <n v="97.325236007906824"/>
    <n v="0"/>
    <n v="0"/>
    <n v="0"/>
    <n v="0"/>
    <n v="0"/>
    <n v="4.7041969311997347"/>
    <m/>
    <n v="0.8503894024134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99352715200458"/>
    <n v="0"/>
    <n v="0"/>
    <n v="0"/>
    <n v="0"/>
    <n v="0"/>
    <m/>
    <m/>
    <m/>
    <m/>
    <m/>
    <m/>
    <m/>
    <m/>
    <m/>
    <n v="103.82458872310728"/>
    <m/>
    <m/>
    <m/>
    <m/>
    <m/>
    <m/>
    <m/>
    <m/>
    <m/>
    <m/>
    <m/>
    <m/>
    <n v="2270.0859"/>
    <n v="-60.171200000000681"/>
    <m/>
    <m/>
    <m/>
    <m/>
    <n v="-75.754599999999698"/>
    <n v="15.613399999999999"/>
    <n v="31"/>
    <n v="143.8032766863812"/>
    <n v="0"/>
    <n v="0"/>
    <n v="0"/>
    <n v="0"/>
    <n v="0"/>
    <n v="0"/>
    <n v="0"/>
    <n v="130.12885500469099"/>
    <n v="0"/>
    <n v="0"/>
    <n v="14.77480024170076"/>
    <n v="0"/>
    <n v="0"/>
    <n v="0"/>
    <n v="0.98665713032171354"/>
    <n v="0"/>
    <n v="-1.7688262966688448"/>
    <m/>
    <n v="0"/>
    <n v="0"/>
    <n v="0"/>
    <n v="0"/>
    <n v="-0.25984579661865581"/>
    <n v="-5.8363597044764237E-2"/>
    <n v="0"/>
    <n v="39.956741369771436"/>
    <m/>
    <m/>
    <m/>
    <n v="1583.5962759644472"/>
    <n v="0"/>
    <n v="0"/>
    <n v="-75.754599999999755"/>
    <n v="15.613399999999999"/>
    <n v="0"/>
    <n v="0"/>
    <n v="-243.90141044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9"/>
    <s v="Regular"/>
    <s v="Verde"/>
    <s v="A4"/>
    <s v="Comercial"/>
    <s v="Não se aplica"/>
    <s v="Não se aplica"/>
    <s v="Não se aplica"/>
    <s v="Fora ponta"/>
    <s v="CATIVO"/>
    <x v="6"/>
    <n v="0"/>
    <n v="0"/>
    <n v="86.043999999999997"/>
    <n v="86.043999999999997"/>
    <n v="86.043999999999997"/>
    <n v="86.043999999999997"/>
    <m/>
    <n v="94.17"/>
    <n v="207.07"/>
    <m/>
    <n v="25919.894560000001"/>
    <n v="25919.894560000001"/>
    <n v="28718.905879999998"/>
    <n v="0"/>
    <n v="5895.8570088180741"/>
    <n v="0"/>
    <n v="0"/>
    <n v="0"/>
    <n v="0"/>
    <n v="0"/>
    <n v="17817.558738434756"/>
    <n v="0"/>
    <n v="0"/>
    <n v="0"/>
    <n v="0"/>
    <n v="0"/>
    <n v="861.20834201734044"/>
    <m/>
    <n v="155.68277817289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.8517128227834"/>
    <n v="0"/>
    <n v="0"/>
    <n v="0"/>
    <n v="0"/>
    <n v="0"/>
    <m/>
    <m/>
    <m/>
    <m/>
    <m/>
    <m/>
    <m/>
    <m/>
    <m/>
    <n v="19007.41045125754"/>
    <m/>
    <m/>
    <m/>
    <m/>
    <m/>
    <m/>
    <m/>
    <m/>
    <m/>
    <m/>
    <m/>
    <m/>
    <n v="28717.570800000001"/>
    <n v="2797.6462400000055"/>
    <m/>
    <m/>
    <m/>
    <m/>
    <n v="-59.370359999999799"/>
    <n v="2858.38168"/>
    <n v="31"/>
    <n v="2503.4083812326608"/>
    <n v="0"/>
    <n v="0"/>
    <n v="0"/>
    <n v="0"/>
    <n v="0"/>
    <n v="0"/>
    <n v="0"/>
    <n v="0"/>
    <n v="0"/>
    <n v="0"/>
    <n v="2704.8572595678706"/>
    <n v="0"/>
    <n v="0"/>
    <n v="0"/>
    <n v="180.62963004553535"/>
    <n v="0"/>
    <n v="-323.82316993739187"/>
    <m/>
    <n v="0"/>
    <n v="0"/>
    <n v="0"/>
    <n v="0"/>
    <n v="-47.570578136714062"/>
    <n v="-10.684760306637656"/>
    <n v="0"/>
    <n v="295.23623127286908"/>
    <m/>
    <m/>
    <m/>
    <n v="0"/>
    <n v="0"/>
    <n v="0"/>
    <n v="-59.370359999999891"/>
    <n v="2858.38167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0"/>
    <s v="Regular"/>
    <s v="Verde"/>
    <s v="A4"/>
    <s v="Comercial"/>
    <s v="Não se aplica"/>
    <s v="Não se aplica"/>
    <s v="Não se aplica"/>
    <s v="Não se aplica"/>
    <s v="CATIVO"/>
    <x v="6"/>
    <n v="304"/>
    <n v="304"/>
    <n v="0"/>
    <n v="0"/>
    <n v="0"/>
    <n v="0"/>
    <n v="73.75"/>
    <m/>
    <m/>
    <n v="22420"/>
    <m/>
    <n v="22420"/>
    <n v="22620.639999999999"/>
    <n v="0"/>
    <n v="0"/>
    <n v="0"/>
    <n v="0"/>
    <n v="0"/>
    <n v="8833.7096760712593"/>
    <n v="13586.2535357352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620.639999999999"/>
    <n v="200.61000000000422"/>
    <m/>
    <m/>
    <m/>
    <m/>
    <n v="200.63999999999896"/>
    <n v="0"/>
    <n v="31"/>
    <n v="1899.8812148778161"/>
    <n v="0"/>
    <n v="0"/>
    <n v="0"/>
    <n v="0"/>
    <m/>
    <m/>
    <m/>
    <n v="1899.8812148778161"/>
    <n v="0"/>
    <n v="0"/>
    <m/>
    <m/>
    <n v="0"/>
    <n v="0"/>
    <n v="0"/>
    <n v="0"/>
    <n v="0"/>
    <m/>
    <n v="0"/>
    <n v="0"/>
    <m/>
    <n v="0"/>
    <n v="0"/>
    <n v="0"/>
    <n v="0"/>
    <n v="392.78758729576691"/>
    <m/>
    <m/>
    <n v="13586.253535735212"/>
    <m/>
    <n v="0"/>
    <n v="0"/>
    <n v="200.63999999999942"/>
    <m/>
    <n v="0"/>
    <m/>
    <n v="-2092.51969728083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91"/>
    <s v="Regular"/>
    <s v="Branca"/>
    <s v="B3"/>
    <s v="Comercial"/>
    <s v="Não se aplica"/>
    <s v="Não se aplica"/>
    <s v="Não se aplica"/>
    <s v="Ponta"/>
    <s v="CATIVO"/>
    <x v="6"/>
    <n v="0"/>
    <n v="0"/>
    <n v="3.1E-2"/>
    <n v="3.1E-2"/>
    <n v="3.1E-2"/>
    <n v="3.1E-2"/>
    <m/>
    <n v="2482.39"/>
    <n v="207.07"/>
    <m/>
    <n v="83.373259999999988"/>
    <n v="83.373259999999988"/>
    <n v="81.450329999999994"/>
    <n v="0"/>
    <n v="2.4415678168582087"/>
    <n v="0"/>
    <n v="0"/>
    <n v="0"/>
    <n v="18.867207001400136"/>
    <n v="54.242867934018022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"/>
    <n v="0"/>
    <n v="0"/>
    <n v="0"/>
    <m/>
    <m/>
    <m/>
    <m/>
    <m/>
    <m/>
    <m/>
    <m/>
    <m/>
    <n v="7.4252841873540696"/>
    <m/>
    <m/>
    <m/>
    <m/>
    <m/>
    <m/>
    <m/>
    <m/>
    <m/>
    <m/>
    <m/>
    <m/>
    <n v="78.82289999999999"/>
    <n v="-4.5803600000000131"/>
    <m/>
    <m/>
    <m/>
    <m/>
    <n v="-2.95275"/>
    <n v="1.02982"/>
    <n v="31"/>
    <n v="5.0278599764648568"/>
    <n v="0"/>
    <n v="0"/>
    <n v="0"/>
    <n v="0"/>
    <n v="0"/>
    <n v="0"/>
    <n v="0"/>
    <n v="4.0578028340992276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1.4034276011476383"/>
    <m/>
    <m/>
    <m/>
    <n v="54.242867934018022"/>
    <n v="0"/>
    <n v="0"/>
    <n v="-2.9527499999999947"/>
    <n v="1.02982"/>
    <n v="0"/>
    <n v="0"/>
    <n v="-8.354346493710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2"/>
    <s v="Regular"/>
    <s v="Branca"/>
    <s v="B3"/>
    <s v="Comercial"/>
    <s v="Não se aplica"/>
    <s v="Não se aplica"/>
    <s v="Não se aplica"/>
    <s v="Fora ponta"/>
    <s v="CATIVO"/>
    <x v="6"/>
    <n v="0"/>
    <n v="0"/>
    <n v="0.19800000000000001"/>
    <n v="0.19800000000000001"/>
    <n v="0.19800000000000001"/>
    <n v="0.19800000000000001"/>
    <m/>
    <n v="595.67999999999995"/>
    <n v="207.07"/>
    <m/>
    <n v="158.94450000000001"/>
    <n v="158.94450000000001"/>
    <n v="162.07092"/>
    <n v="0"/>
    <n v="15.594529927029848"/>
    <n v="0"/>
    <n v="0"/>
    <n v="0"/>
    <n v="24.101104692280177"/>
    <n v="69.29090945060031"/>
    <n v="41.000844105458626"/>
    <n v="0"/>
    <n v="0"/>
    <n v="0"/>
    <n v="0"/>
    <n v="0"/>
    <n v="1.9817680688883992"/>
    <m/>
    <n v="0.55142017686648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251645750609176"/>
    <n v="0"/>
    <n v="0"/>
    <n v="0"/>
    <n v="0"/>
    <n v="0"/>
    <m/>
    <m/>
    <m/>
    <m/>
    <m/>
    <m/>
    <m/>
    <m/>
    <m/>
    <n v="47.426008680519544"/>
    <m/>
    <m/>
    <m/>
    <m/>
    <m/>
    <m/>
    <m/>
    <m/>
    <m/>
    <m/>
    <m/>
    <m/>
    <n v="163.708"/>
    <n v="4.7335000000000207"/>
    <m/>
    <m/>
    <m/>
    <m/>
    <n v="-3.4511399999999903"/>
    <n v="6.5775600000000001"/>
    <n v="31"/>
    <n v="11.379315105479222"/>
    <n v="0"/>
    <n v="0"/>
    <n v="0"/>
    <n v="0"/>
    <n v="0"/>
    <n v="0"/>
    <n v="0"/>
    <n v="5.1834662606923025"/>
    <n v="0"/>
    <n v="0"/>
    <n v="6.2242775486313846"/>
    <n v="0"/>
    <n v="0"/>
    <n v="0"/>
    <n v="0.97539473840949409"/>
    <n v="0"/>
    <n v="-0.85651163301646704"/>
    <m/>
    <n v="0"/>
    <n v="0"/>
    <n v="0"/>
    <n v="0"/>
    <n v="-0.10946695261807204"/>
    <n v="-3.7844856619394185E-2"/>
    <n v="0"/>
    <n v="2.4190665288609243"/>
    <m/>
    <m/>
    <m/>
    <n v="69.29090945060031"/>
    <n v="0"/>
    <n v="0"/>
    <n v="-3.451139999999981"/>
    <n v="6.5775600000000054"/>
    <n v="0"/>
    <n v="0"/>
    <n v="-10.67200700226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3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94"/>
    <s v="Regular"/>
    <s v="Branca"/>
    <s v="B3"/>
    <s v="Comercial"/>
    <s v="Não se aplica"/>
    <s v="Não se aplica"/>
    <s v="Não se aplica"/>
    <s v="Intermediário"/>
    <s v="CATIVO"/>
    <x v="6"/>
    <n v="0"/>
    <n v="0"/>
    <n v="1.7000000000000001E-2"/>
    <n v="1.7000000000000001E-2"/>
    <n v="1.7000000000000001E-2"/>
    <n v="1.7000000000000001E-2"/>
    <m/>
    <n v="1539.04"/>
    <n v="207.07"/>
    <m/>
    <n v="29.683870000000002"/>
    <n v="29.683870000000002"/>
    <n v="29.290830000000003"/>
    <n v="0"/>
    <n v="1.3389242866641791"/>
    <n v="0"/>
    <n v="0"/>
    <n v="0"/>
    <n v="6.2079117237220514"/>
    <n v="17.847651595349834"/>
    <n v="3.5202744939030133"/>
    <n v="0"/>
    <n v="0"/>
    <n v="0"/>
    <n v="0"/>
    <n v="0"/>
    <n v="0.17015180389445853"/>
    <m/>
    <n v="4.73441565996473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165554432341213"/>
    <n v="0"/>
    <n v="0"/>
    <n v="0"/>
    <n v="0"/>
    <n v="0"/>
    <m/>
    <m/>
    <m/>
    <m/>
    <m/>
    <m/>
    <m/>
    <m/>
    <m/>
    <n v="4.0719300382264256"/>
    <m/>
    <m/>
    <m/>
    <m/>
    <m/>
    <m/>
    <m/>
    <m/>
    <m/>
    <m/>
    <m/>
    <m/>
    <n v="34.459800000000001"/>
    <n v="4.7459299999999942"/>
    <m/>
    <m/>
    <m/>
    <m/>
    <n v="-0.95777999999999863"/>
    <n v="0.56474000000000002"/>
    <n v="31"/>
    <n v="1.8671131288637923"/>
    <n v="0"/>
    <n v="0"/>
    <n v="0"/>
    <n v="0"/>
    <n v="0"/>
    <n v="0"/>
    <n v="0"/>
    <n v="1.3351463088568334"/>
    <n v="0"/>
    <n v="0"/>
    <n v="0.53440766831683639"/>
    <n v="0"/>
    <n v="0"/>
    <n v="0"/>
    <n v="8.3746012893744504E-2"/>
    <n v="0"/>
    <n v="-7.3538877582222106E-2"/>
    <m/>
    <n v="0"/>
    <n v="0"/>
    <n v="0"/>
    <n v="0"/>
    <n v="-9.3986777500364993E-3"/>
    <n v="-3.2493058713621362E-3"/>
    <n v="0"/>
    <n v="0.48865959753515376"/>
    <m/>
    <m/>
    <m/>
    <n v="17.847651595349834"/>
    <n v="0"/>
    <n v="0"/>
    <n v="-0.95777999999999963"/>
    <n v="0.56474000000000002"/>
    <n v="0"/>
    <n v="0"/>
    <n v="-2.748849225818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5"/>
    <s v="Regular"/>
    <s v="Convencional"/>
    <s v="B2"/>
    <s v="Rural"/>
    <s v="Não se aplica"/>
    <s v="Não se aplica"/>
    <s v="Não se aplica"/>
    <s v="Não se aplica"/>
    <s v="CATIVO"/>
    <x v="6"/>
    <n v="0"/>
    <n v="0"/>
    <n v="40.125"/>
    <n v="40.125"/>
    <n v="40.125"/>
    <n v="40.125"/>
    <m/>
    <n v="897.25"/>
    <n v="207.07"/>
    <m/>
    <n v="44310.84"/>
    <n v="44310.84"/>
    <n v="44445.258749999994"/>
    <n v="0"/>
    <n v="3160.2551177882456"/>
    <n v="0"/>
    <n v="0"/>
    <n v="0"/>
    <n v="8006.8299852448636"/>
    <n v="23019.523430720488"/>
    <n v="8308.8831804622587"/>
    <n v="0"/>
    <n v="0"/>
    <n v="0"/>
    <n v="0"/>
    <n v="0"/>
    <n v="401.60830183912628"/>
    <m/>
    <n v="111.74613432710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2.0693362339359"/>
    <n v="0"/>
    <n v="33.17"/>
    <n v="153.33000000000001"/>
    <n v="0"/>
    <n v="150"/>
    <m/>
    <m/>
    <m/>
    <m/>
    <m/>
    <n v="5333.415"/>
    <m/>
    <m/>
    <m/>
    <n v="9610.9525166961939"/>
    <m/>
    <m/>
    <m/>
    <m/>
    <m/>
    <m/>
    <m/>
    <m/>
    <m/>
    <m/>
    <m/>
    <m/>
    <n v="39116.717499999999"/>
    <n v="122.81124999999884"/>
    <m/>
    <m/>
    <m/>
    <m/>
    <n v="-1198.5337500000003"/>
    <n v="1332.9524999999999"/>
    <n v="31"/>
    <n v="2977.6409260152504"/>
    <n v="0"/>
    <n v="0"/>
    <n v="0"/>
    <n v="0"/>
    <n v="0"/>
    <n v="0"/>
    <n v="0"/>
    <n v="1722.0427699694083"/>
    <n v="0"/>
    <n v="0"/>
    <n v="1261.3592759537078"/>
    <n v="0"/>
    <n v="0"/>
    <n v="0"/>
    <n v="197.66522160949967"/>
    <n v="0"/>
    <n v="-173.57338017568554"/>
    <m/>
    <n v="0"/>
    <n v="0"/>
    <n v="0"/>
    <n v="0"/>
    <n v="-22.183643807071348"/>
    <n v="-7.669317534612091"/>
    <n v="0"/>
    <n v="702.21962016617181"/>
    <m/>
    <m/>
    <m/>
    <n v="23019.523430720488"/>
    <n v="0"/>
    <n v="0"/>
    <n v="-1198.5337500000023"/>
    <n v="1332.9524999999994"/>
    <n v="0"/>
    <n v="0"/>
    <n v="-3545.40757495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.55300000000000005"/>
    <n v="0.55300000000000005"/>
    <n v="0.55300000000000005"/>
    <n v="0.55300000000000005"/>
    <m/>
    <n v="897.25"/>
    <n v="207.07"/>
    <m/>
    <n v="610.68896000000007"/>
    <n v="610.68896000000007"/>
    <n v="612.54151000000002"/>
    <n v="0"/>
    <n v="43.554419442664177"/>
    <n v="0"/>
    <n v="0"/>
    <n v="0"/>
    <n v="110.34958210194168"/>
    <n v="317.25349426014782"/>
    <n v="114.51245853696274"/>
    <n v="0"/>
    <n v="0"/>
    <n v="0"/>
    <n v="0"/>
    <n v="0"/>
    <n v="5.5349380913903268"/>
    <m/>
    <n v="1.5400775646826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45030353579231"/>
    <n v="0"/>
    <n v="0"/>
    <n v="0"/>
    <n v="0"/>
    <n v="5"/>
    <m/>
    <m/>
    <m/>
    <m/>
    <m/>
    <n v="73.504760000000019"/>
    <m/>
    <m/>
    <m/>
    <n v="132.45748889054198"/>
    <m/>
    <m/>
    <m/>
    <m/>
    <m/>
    <m/>
    <m/>
    <m/>
    <m/>
    <m/>
    <m/>
    <m/>
    <n v="536.11250000000007"/>
    <n v="-1.3284299999999121"/>
    <m/>
    <m/>
    <m/>
    <m/>
    <n v="-16.518110000000004"/>
    <n v="18.370660000000001"/>
    <n v="31"/>
    <n v="41.03764316726307"/>
    <n v="0"/>
    <n v="0"/>
    <n v="0"/>
    <n v="0"/>
    <n v="0"/>
    <n v="0"/>
    <n v="0"/>
    <n v="23.733075434095525"/>
    <n v="0"/>
    <n v="0"/>
    <n v="17.383967092894707"/>
    <n v="0"/>
    <n v="0"/>
    <n v="0"/>
    <n v="2.7242085370729825"/>
    <n v="0"/>
    <n v="-2.3921764295863994"/>
    <m/>
    <n v="0"/>
    <n v="0"/>
    <n v="0"/>
    <n v="0"/>
    <n v="-0.30573345857471601"/>
    <n v="-0.10569800863901535"/>
    <n v="0"/>
    <n v="9.6779426779287974"/>
    <m/>
    <m/>
    <m/>
    <n v="317.25349426014782"/>
    <n v="0"/>
    <n v="0"/>
    <n v="-16.518109999999979"/>
    <n v="18.370659999999987"/>
    <n v="0"/>
    <n v="0"/>
    <n v="-48.86256421053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0.686"/>
    <n v="20.686"/>
    <n v="20.686"/>
    <n v="20.686"/>
    <m/>
    <n v="897.25"/>
    <n v="207.07"/>
    <m/>
    <n v="22843.963520000001"/>
    <n v="22843.963520000001"/>
    <n v="22913.261620000001"/>
    <n v="0"/>
    <n v="1629.2345761138356"/>
    <n v="0"/>
    <n v="0"/>
    <n v="0"/>
    <n v="4127.832649838635"/>
    <n v="11867.460727423901"/>
    <n v="4283.552834169278"/>
    <n v="0"/>
    <n v="0"/>
    <n v="0"/>
    <n v="0"/>
    <n v="0"/>
    <n v="207.04471855063343"/>
    <m/>
    <n v="57.609483730606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26744646318252"/>
    <n v="0"/>
    <n v="174.25"/>
    <n v="804.83"/>
    <n v="0"/>
    <n v="31"/>
    <m/>
    <m/>
    <m/>
    <m/>
    <m/>
    <m/>
    <m/>
    <m/>
    <m/>
    <n v="4954.8202806324607"/>
    <m/>
    <m/>
    <m/>
    <m/>
    <m/>
    <m/>
    <m/>
    <m/>
    <m/>
    <m/>
    <m/>
    <m/>
    <n v="22917.692300000002"/>
    <n v="73.698780000006082"/>
    <m/>
    <m/>
    <m/>
    <m/>
    <n v="-617.89082000000008"/>
    <n v="687.18891999999994"/>
    <n v="31"/>
    <n v="1535.0898491103162"/>
    <n v="0"/>
    <n v="0"/>
    <n v="0"/>
    <n v="0"/>
    <n v="0"/>
    <n v="0"/>
    <n v="0"/>
    <n v="887.78010565949444"/>
    <n v="0"/>
    <n v="0"/>
    <n v="650.27982510600395"/>
    <n v="0"/>
    <n v="0"/>
    <n v="0"/>
    <n v="101.9041189835292"/>
    <n v="0"/>
    <n v="-89.483836568579136"/>
    <m/>
    <n v="0"/>
    <n v="0"/>
    <n v="0"/>
    <n v="0"/>
    <n v="-11.436532231603195"/>
    <n v="-3.9538318385292399"/>
    <n v="0"/>
    <n v="362.02155919644679"/>
    <m/>
    <m/>
    <m/>
    <n v="11867.460727423901"/>
    <n v="0"/>
    <n v="0"/>
    <n v="-617.89082000000053"/>
    <n v="687.1889199999996"/>
    <n v="0"/>
    <n v="0"/>
    <n v="-1827.795665929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8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53.86"/>
    <n v="253.86"/>
    <n v="253.86"/>
    <n v="253.86"/>
    <m/>
    <n v="493.49"/>
    <n v="113.89"/>
    <m/>
    <n v="154189.48680000001"/>
    <n v="154189.48680000001"/>
    <n v="154656.58919999999"/>
    <n v="0"/>
    <n v="10996.742686877209"/>
    <n v="0"/>
    <n v="0"/>
    <n v="0"/>
    <n v="27861.373782675291"/>
    <n v="80101.05719545146"/>
    <n v="28912.428568365918"/>
    <n v="0"/>
    <n v="0"/>
    <n v="0"/>
    <n v="0"/>
    <n v="0"/>
    <n v="1397.4767832444682"/>
    <m/>
    <n v="388.84312805367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0.8118861804533"/>
    <n v="0"/>
    <n v="1286.53"/>
    <n v="5937.87"/>
    <n v="0"/>
    <n v="3"/>
    <m/>
    <m/>
    <m/>
    <m/>
    <m/>
    <m/>
    <m/>
    <m/>
    <m/>
    <n v="33443.240454546372"/>
    <m/>
    <m/>
    <m/>
    <m/>
    <m/>
    <m/>
    <m/>
    <m/>
    <m/>
    <m/>
    <m/>
    <m/>
    <n v="154656.58919999999"/>
    <n v="467.07239999997546"/>
    <m/>
    <m/>
    <m/>
    <m/>
    <n v="-4170.9198000000024"/>
    <n v="4638.0221999999994"/>
    <n v="31"/>
    <n v="10361.299913097057"/>
    <n v="0"/>
    <n v="0"/>
    <n v="0"/>
    <n v="0"/>
    <n v="0"/>
    <n v="0"/>
    <n v="0"/>
    <n v="5992.1938360482163"/>
    <n v="0"/>
    <n v="0"/>
    <n v="4389.1530513764592"/>
    <n v="0"/>
    <n v="0"/>
    <n v="0"/>
    <n v="687.81585636843829"/>
    <n v="0"/>
    <n v="-603.98345321544548"/>
    <m/>
    <n v="0"/>
    <n v="0"/>
    <n v="0"/>
    <n v="0"/>
    <n v="-77.192446087842882"/>
    <n v="-26.686931392776273"/>
    <n v="0"/>
    <n v="2443.5142685722512"/>
    <m/>
    <m/>
    <m/>
    <n v="80101.05719545146"/>
    <n v="0"/>
    <n v="0"/>
    <n v="-4170.9198000000033"/>
    <n v="4638.0221999999994"/>
    <n v="0"/>
    <n v="0"/>
    <n v="-12336.9580520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9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2.247"/>
    <n v="11.512180000000001"/>
    <n v="12.247"/>
    <n v="11.512180000000001"/>
    <m/>
    <n v="897.25"/>
    <n v="207.07"/>
    <m/>
    <n v="13524.607039999999"/>
    <n v="13524.607039999999"/>
    <n v="13565.63449"/>
    <n v="0"/>
    <n v="964.57680816330583"/>
    <n v="0"/>
    <n v="0"/>
    <n v="0"/>
    <n v="2443.8541265867625"/>
    <n v="7026.0461920506868"/>
    <n v="2536.0471604017766"/>
    <n v="0"/>
    <n v="0"/>
    <n v="0"/>
    <n v="0"/>
    <n v="0"/>
    <n v="122.57936131149607"/>
    <m/>
    <n v="34.10728740446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41914419581343"/>
    <n v="0"/>
    <n v="9.5399999999999991"/>
    <n v="44.06"/>
    <n v="0"/>
    <n v="2"/>
    <m/>
    <m/>
    <m/>
    <m/>
    <n v="813.93806939999911"/>
    <m/>
    <m/>
    <m/>
    <m/>
    <n v="2933.4663045975899"/>
    <m/>
    <m/>
    <m/>
    <m/>
    <m/>
    <m/>
    <m/>
    <m/>
    <m/>
    <m/>
    <m/>
    <m/>
    <n v="12749.2817"/>
    <n v="36.121082399999068"/>
    <m/>
    <m/>
    <m/>
    <m/>
    <n v="-365.81789000000003"/>
    <n v="406.84533999999996"/>
    <n v="31"/>
    <n v="908.83908837155741"/>
    <n v="0"/>
    <n v="0"/>
    <n v="0"/>
    <n v="0"/>
    <n v="0"/>
    <n v="0"/>
    <n v="0"/>
    <n v="525.60393280536664"/>
    <n v="0"/>
    <n v="0"/>
    <n v="384.99357140448728"/>
    <n v="0"/>
    <n v="0"/>
    <n v="0"/>
    <n v="60.331612935863973"/>
    <n v="0"/>
    <n v="-52.97827257349843"/>
    <m/>
    <n v="0"/>
    <n v="0"/>
    <n v="0"/>
    <n v="0"/>
    <n v="-6.7709180238056916"/>
    <n v="-2.3408381768571829"/>
    <n v="0"/>
    <n v="214.33230375514282"/>
    <m/>
    <m/>
    <m/>
    <n v="7026.0461920506868"/>
    <n v="0"/>
    <n v="0"/>
    <n v="-365.81789000000026"/>
    <n v="406.84533999999985"/>
    <n v="0"/>
    <n v="0"/>
    <n v="-1082.133497082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0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5920000000000001"/>
    <n v="1.49648"/>
    <n v="1.5920000000000001"/>
    <n v="1.49648"/>
    <m/>
    <n v="4750.8599999999997"/>
    <n v="207.07"/>
    <m/>
    <n v="7893.0245599999998"/>
    <n v="7893.0245599999998"/>
    <n v="7689.3122400000011"/>
    <n v="0"/>
    <n v="109.08609964713838"/>
    <n v="0"/>
    <n v="0"/>
    <n v="0"/>
    <n v="2049.4413158065699"/>
    <n v="5364.0112156072346"/>
    <n v="329.66335260550574"/>
    <n v="0"/>
    <n v="0"/>
    <n v="0"/>
    <n v="0"/>
    <n v="0"/>
    <n v="15.934215988233996"/>
    <m/>
    <n v="2.8804679332813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014828771487512"/>
    <n v="0"/>
    <n v="0"/>
    <n v="0"/>
    <n v="0"/>
    <n v="0"/>
    <m/>
    <m/>
    <m/>
    <m/>
    <n v="461.35873440000023"/>
    <m/>
    <m/>
    <m/>
    <m/>
    <n v="351.67818137699322"/>
    <m/>
    <m/>
    <m/>
    <m/>
    <m/>
    <m/>
    <m/>
    <m/>
    <m/>
    <m/>
    <m/>
    <m/>
    <n v="7244.9550000000008"/>
    <n v="-174.51808639999945"/>
    <m/>
    <m/>
    <m/>
    <m/>
    <n v="-256.59855999999905"/>
    <n v="52.886240000000001"/>
    <n v="31"/>
    <n v="487.09535422280624"/>
    <n v="0"/>
    <n v="0"/>
    <n v="0"/>
    <n v="0"/>
    <n v="0"/>
    <n v="0"/>
    <n v="0"/>
    <n v="440.77688759035755"/>
    <n v="0"/>
    <n v="0"/>
    <n v="50.045706350611908"/>
    <n v="0"/>
    <n v="0"/>
    <n v="0"/>
    <n v="3.3420386201535486"/>
    <n v="0"/>
    <n v="-5.9914286474400029"/>
    <m/>
    <n v="0"/>
    <n v="0"/>
    <n v="0"/>
    <n v="0"/>
    <n v="-0.8801585281210631"/>
    <n v="-0.19769116275588239"/>
    <n v="0"/>
    <n v="135.34283459718324"/>
    <m/>
    <m/>
    <m/>
    <n v="5364.0112156072346"/>
    <n v="0"/>
    <n v="0"/>
    <n v="-256.59855999999945"/>
    <n v="52.886239999999987"/>
    <n v="0"/>
    <n v="0"/>
    <n v="-826.1511604778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1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7.405000000000001"/>
    <n v="16.360700000000001"/>
    <n v="17.405000000000001"/>
    <n v="16.360700000000001"/>
    <m/>
    <n v="94.17"/>
    <n v="207.07"/>
    <m/>
    <n v="5243.0822000000007"/>
    <n v="5243.0822000000007"/>
    <n v="5809.26685"/>
    <n v="0"/>
    <n v="1192.6153042452536"/>
    <n v="0"/>
    <n v="0"/>
    <n v="0"/>
    <n v="0"/>
    <n v="0"/>
    <n v="3604.1398568459972"/>
    <n v="0"/>
    <n v="0"/>
    <n v="0"/>
    <n v="0"/>
    <n v="0"/>
    <n v="174.20542039900297"/>
    <m/>
    <n v="31.491547976608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6834766129021"/>
    <n v="0"/>
    <n v="0"/>
    <n v="0"/>
    <n v="0"/>
    <n v="0"/>
    <m/>
    <m/>
    <m/>
    <m/>
    <n v="348.5560109999999"/>
    <m/>
    <m/>
    <m/>
    <m/>
    <n v="3844.8233334588995"/>
    <m/>
    <m/>
    <m/>
    <m/>
    <m/>
    <m/>
    <m/>
    <m/>
    <m/>
    <m/>
    <m/>
    <m/>
    <n v="5460.4771999999994"/>
    <n v="531.94993199999863"/>
    <m/>
    <m/>
    <m/>
    <m/>
    <n v="-12.009449999999962"/>
    <n v="578.19410000000005"/>
    <n v="31"/>
    <n v="506.39001993578313"/>
    <n v="0"/>
    <n v="0"/>
    <n v="0"/>
    <n v="0"/>
    <n v="0"/>
    <n v="0"/>
    <n v="0"/>
    <n v="0"/>
    <n v="0"/>
    <n v="0"/>
    <n v="547.13914512085466"/>
    <n v="0"/>
    <n v="0"/>
    <n v="0"/>
    <n v="36.537802879254116"/>
    <n v="0"/>
    <n v="-65.503024879832537"/>
    <m/>
    <n v="0"/>
    <n v="0"/>
    <n v="0"/>
    <n v="0"/>
    <n v="-9.6225874258461772"/>
    <n v="-2.1613157586470706"/>
    <n v="0"/>
    <n v="59.720452388362773"/>
    <m/>
    <m/>
    <m/>
    <n v="0"/>
    <n v="0"/>
    <n v="0"/>
    <n v="-12.009450000000015"/>
    <n v="578.1940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2"/>
    <s v="Regular"/>
    <s v="Verde"/>
    <s v="A4"/>
    <s v="Serviço público"/>
    <s v="Água, esgoto e saneamento"/>
    <s v="Não se aplica"/>
    <s v="Não se aplica"/>
    <s v="Não se aplica"/>
    <s v="CATIVO"/>
    <x v="6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6"/>
    <n v="605.3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03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6"/>
    <n v="1.2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05"/>
    <s v="Regular"/>
    <s v="Convencional"/>
    <s v="B2"/>
    <s v="Rural"/>
    <s v="Agropecuária rural"/>
    <s v="IRRIG./AQUIC."/>
    <s v="Não se aplica"/>
    <s v="Não se aplica"/>
    <s v="CATIVO"/>
    <x v="6"/>
    <n v="0"/>
    <n v="0"/>
    <n v="1.696"/>
    <n v="1.696"/>
    <n v="1.696"/>
    <n v="1.696"/>
    <m/>
    <n v="897.25"/>
    <n v="207.07"/>
    <m/>
    <n v="1872.9267199999999"/>
    <n v="1872.9267199999999"/>
    <n v="1878.6083199999998"/>
    <n v="0"/>
    <n v="133.57738765779101"/>
    <n v="0"/>
    <n v="0"/>
    <n v="0"/>
    <n v="338.4319914012533"/>
    <n v="972.9872084361856"/>
    <n v="351.19914950938295"/>
    <n v="0"/>
    <n v="0"/>
    <n v="0"/>
    <n v="0"/>
    <n v="0"/>
    <n v="16.975144670882447"/>
    <m/>
    <n v="4.723275858411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35753127794521"/>
    <n v="0"/>
    <n v="0"/>
    <n v="0"/>
    <n v="0"/>
    <n v="0"/>
    <m/>
    <m/>
    <m/>
    <m/>
    <m/>
    <n v="225.43232000000003"/>
    <m/>
    <m/>
    <m/>
    <n v="406.23490263717747"/>
    <m/>
    <m/>
    <m/>
    <m/>
    <m/>
    <m/>
    <m/>
    <m/>
    <m/>
    <m/>
    <m/>
    <m/>
    <n v="1657.0749999999998"/>
    <n v="8.855239999999867"/>
    <m/>
    <m/>
    <m/>
    <m/>
    <n v="-50.659520000000008"/>
    <n v="56.341119999999997"/>
    <n v="31"/>
    <n v="125.85866692889363"/>
    <n v="0"/>
    <n v="0"/>
    <n v="0"/>
    <n v="0"/>
    <n v="0"/>
    <n v="0"/>
    <n v="0"/>
    <n v="72.787153591728725"/>
    <n v="0"/>
    <n v="0"/>
    <n v="53.315023850903174"/>
    <n v="0"/>
    <n v="0"/>
    <n v="0"/>
    <n v="8.3548963451641498"/>
    <n v="0"/>
    <n v="-7.3365844929087274"/>
    <m/>
    <n v="0"/>
    <n v="0"/>
    <n v="0"/>
    <n v="0"/>
    <n v="-0.93765632141540323"/>
    <n v="-0.32416604457824594"/>
    <n v="0"/>
    <n v="29.681357652381987"/>
    <m/>
    <m/>
    <m/>
    <n v="972.9872084361856"/>
    <n v="0"/>
    <n v="0"/>
    <n v="-50.659519999999929"/>
    <n v="56.341119999999989"/>
    <n v="0"/>
    <n v="0"/>
    <n v="-149.8569781212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6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5.8999999999999997E-2"/>
    <n v="2.3599999999999999E-2"/>
    <n v="5.8999999999999997E-2"/>
    <n v="2.3599999999999999E-2"/>
    <m/>
    <n v="897.25"/>
    <n v="207.07"/>
    <m/>
    <n v="65.154879999999991"/>
    <n v="65.154879999999991"/>
    <n v="65.352530000000002"/>
    <n v="0"/>
    <n v="4.6468548772462679"/>
    <n v="0"/>
    <n v="0"/>
    <n v="0"/>
    <n v="11.773282719736995"/>
    <n v="33.848021991589"/>
    <n v="12.217423243545751"/>
    <n v="0"/>
    <n v="0"/>
    <n v="0"/>
    <n v="0"/>
    <n v="0"/>
    <n v="0.59052684881017947"/>
    <m/>
    <n v="0.16431207290465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45692420636067"/>
    <n v="0"/>
    <n v="0"/>
    <n v="0"/>
    <n v="0"/>
    <n v="0"/>
    <m/>
    <m/>
    <m/>
    <m/>
    <m/>
    <m/>
    <n v="42.34843"/>
    <m/>
    <m/>
    <n v="14.131992485609358"/>
    <m/>
    <m/>
    <m/>
    <m/>
    <m/>
    <m/>
    <m/>
    <m/>
    <m/>
    <m/>
    <m/>
    <m/>
    <n v="19.494999999999997"/>
    <n v="-3.4697160000000089"/>
    <m/>
    <m/>
    <m/>
    <m/>
    <n v="-1.7623300000000002"/>
    <n v="1.9599799999999998"/>
    <n v="31"/>
    <n v="4.3783380594367571"/>
    <n v="0"/>
    <n v="0"/>
    <n v="0"/>
    <n v="0"/>
    <n v="0"/>
    <n v="0"/>
    <n v="0"/>
    <n v="2.5321002723537713"/>
    <n v="0"/>
    <n v="0"/>
    <n v="1.854708966511371"/>
    <n v="0"/>
    <n v="0"/>
    <n v="0"/>
    <n v="0.29064792710181875"/>
    <n v="0"/>
    <n v="-0.25522316337359463"/>
    <m/>
    <n v="0"/>
    <n v="0"/>
    <n v="0"/>
    <n v="0"/>
    <n v="-3.2618940426597187E-2"/>
    <n v="-1.1277002730021496E-2"/>
    <n v="0"/>
    <n v="1.0325472296524394"/>
    <m/>
    <m/>
    <m/>
    <n v="33.848021991589"/>
    <n v="0"/>
    <n v="0"/>
    <n v="-1.7623299999999986"/>
    <n v="1.9599799999999998"/>
    <n v="0"/>
    <n v="0"/>
    <n v="-5.213184970021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Agropecuária rural"/>
    <s v="Não se aplica"/>
    <s v="Não se aplica"/>
    <s v="Ponta"/>
    <s v="CATIVO"/>
    <x v="6"/>
    <n v="0"/>
    <n v="0"/>
    <n v="0.35099999999999998"/>
    <n v="0.33695999999999998"/>
    <n v="0.35099999999999998"/>
    <n v="0.33695999999999998"/>
    <m/>
    <n v="4750.8599999999997"/>
    <n v="207.07"/>
    <m/>
    <n v="1740.2334299999998"/>
    <n v="1740.2334299999998"/>
    <n v="1695.3194699999999"/>
    <n v="0"/>
    <n v="24.051018201096461"/>
    <n v="0"/>
    <n v="0"/>
    <n v="0"/>
    <n v="451.85546598499121"/>
    <n v="1182.6431763053638"/>
    <n v="72.683314550585735"/>
    <n v="0"/>
    <n v="0"/>
    <n v="0"/>
    <n v="0"/>
    <n v="0"/>
    <n v="3.5131343039385254"/>
    <m/>
    <n v="0.6350780430789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537719213518313"/>
    <n v="0"/>
    <n v="0"/>
    <n v="0"/>
    <n v="0"/>
    <n v="0"/>
    <m/>
    <m/>
    <m/>
    <m/>
    <m/>
    <n v="67.81277879999999"/>
    <m/>
    <m/>
    <m/>
    <n v="77.53708647193757"/>
    <m/>
    <m/>
    <m/>
    <m/>
    <m/>
    <m/>
    <m/>
    <m/>
    <m/>
    <m/>
    <m/>
    <m/>
    <n v="1642.1898000000001"/>
    <n v="-28.464292799999839"/>
    <m/>
    <m/>
    <m/>
    <m/>
    <n v="-56.574179999999778"/>
    <n v="11.660219999999999"/>
    <n v="31"/>
    <n v="107.39351088706337"/>
    <n v="0"/>
    <n v="0"/>
    <n v="0"/>
    <n v="0"/>
    <n v="0"/>
    <n v="0"/>
    <n v="0"/>
    <n v="97.181336397120333"/>
    <n v="0"/>
    <n v="0"/>
    <n v="11.0339465634829"/>
    <n v="0"/>
    <n v="0"/>
    <n v="0"/>
    <n v="0.73684394200621561"/>
    <n v="0"/>
    <n v="-1.3209745321931159"/>
    <m/>
    <n v="0"/>
    <n v="0"/>
    <n v="0"/>
    <n v="0"/>
    <n v="-0.19405505236840037"/>
    <n v="-4.3586430984494107E-2"/>
    <n v="0"/>
    <n v="29.840034512318667"/>
    <m/>
    <m/>
    <m/>
    <n v="1182.6431763053638"/>
    <n v="0"/>
    <n v="0"/>
    <n v="-56.574179999999842"/>
    <n v="11.660219999999995"/>
    <n v="0"/>
    <n v="0"/>
    <n v="-182.1476490751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Agropecuária rural"/>
    <s v="Não se aplica"/>
    <s v="Não se aplica"/>
    <s v="Fora ponta"/>
    <s v="CATIVO"/>
    <x v="6"/>
    <n v="0"/>
    <n v="0"/>
    <n v="12.372999999999999"/>
    <n v="11.878080000000001"/>
    <n v="12.372999999999999"/>
    <n v="11.878080000000001"/>
    <m/>
    <n v="94.17"/>
    <n v="207.07"/>
    <m/>
    <n v="3727.2425199999998"/>
    <n v="3727.2425199999998"/>
    <n v="4129.7362099999991"/>
    <n v="0"/>
    <n v="847.81552194349445"/>
    <n v="0"/>
    <n v="0"/>
    <n v="0"/>
    <n v="0"/>
    <n v="0"/>
    <n v="2562.1386066507048"/>
    <n v="0"/>
    <n v="0"/>
    <n v="0"/>
    <n v="0"/>
    <n v="0"/>
    <n v="123.84048644624323"/>
    <m/>
    <n v="22.386953353322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09891733016013"/>
    <n v="0"/>
    <n v="0"/>
    <n v="0"/>
    <n v="0"/>
    <n v="0"/>
    <m/>
    <m/>
    <m/>
    <m/>
    <m/>
    <n v="165.18944839999955"/>
    <m/>
    <m/>
    <m/>
    <n v="2733.2375239808648"/>
    <m/>
    <m/>
    <m/>
    <m/>
    <m/>
    <m/>
    <m/>
    <m/>
    <m/>
    <m/>
    <m/>
    <m/>
    <n v="3965.1876000000002"/>
    <n v="387.00478079999993"/>
    <m/>
    <m/>
    <m/>
    <m/>
    <n v="-8.5373699999999708"/>
    <n v="411.03105999999997"/>
    <n v="31"/>
    <n v="359.98642439904916"/>
    <n v="0"/>
    <n v="0"/>
    <n v="0"/>
    <n v="0"/>
    <n v="0"/>
    <n v="0"/>
    <n v="0"/>
    <n v="0"/>
    <n v="0"/>
    <n v="0"/>
    <n v="388.95447529907096"/>
    <n v="0"/>
    <n v="0"/>
    <n v="0"/>
    <n v="25.974273773341622"/>
    <n v="0"/>
    <n v="-46.56529312485884"/>
    <m/>
    <n v="0"/>
    <n v="0"/>
    <n v="0"/>
    <n v="0"/>
    <n v="-6.8405788118353712"/>
    <n v="-1.5364527366699328"/>
    <n v="0"/>
    <n v="42.4545336053555"/>
    <m/>
    <m/>
    <m/>
    <n v="0"/>
    <n v="0"/>
    <n v="0"/>
    <n v="-8.5373700000000099"/>
    <n v="411.0310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Agropecuária rural"/>
    <s v="Não se aplica"/>
    <s v="Não se aplica"/>
    <s v="Não se aplica"/>
    <s v="CATIVO"/>
    <x v="6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10"/>
    <s v="Regular"/>
    <s v="Verde"/>
    <s v="A4"/>
    <s v="Rural"/>
    <s v="Agropecuária rural"/>
    <s v="IRRIG./AQUIC. PR"/>
    <s v="Não se aplica"/>
    <s v="Fora ponta"/>
    <s v="CATIVO"/>
    <x v="6"/>
    <n v="0"/>
    <n v="0"/>
    <n v="6.3449999999999998"/>
    <n v="1.9035"/>
    <n v="6.3449999999999998"/>
    <n v="1.9035"/>
    <m/>
    <n v="94.17"/>
    <n v="207.07"/>
    <m/>
    <n v="1911.3678"/>
    <n v="1911.3678"/>
    <n v="2117.7706499999999"/>
    <n v="0"/>
    <n v="434.76840594289763"/>
    <n v="0"/>
    <n v="0"/>
    <n v="0"/>
    <n v="0"/>
    <n v="0"/>
    <n v="1313.8906861067421"/>
    <n v="0"/>
    <n v="0"/>
    <n v="0"/>
    <n v="0"/>
    <n v="0"/>
    <n v="63.506658571196418"/>
    <m/>
    <n v="11.480256932581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41261655206188"/>
    <n v="0"/>
    <n v="0"/>
    <n v="0"/>
    <n v="0"/>
    <n v="0"/>
    <m/>
    <m/>
    <m/>
    <m/>
    <m/>
    <m/>
    <n v="1482.4394549999997"/>
    <m/>
    <m/>
    <n v="1401.6319477619484"/>
    <m/>
    <m/>
    <m/>
    <m/>
    <m/>
    <m/>
    <m/>
    <m/>
    <m/>
    <m/>
    <m/>
    <m/>
    <n v="634.16300000000001"/>
    <n v="60.722660000000019"/>
    <m/>
    <m/>
    <m/>
    <m/>
    <n v="-4.3780499999999858"/>
    <n v="210.78089999999997"/>
    <n v="31"/>
    <n v="184.60469270281783"/>
    <n v="0"/>
    <n v="0"/>
    <n v="0"/>
    <n v="0"/>
    <n v="0"/>
    <n v="0"/>
    <n v="0"/>
    <n v="0"/>
    <n v="0"/>
    <n v="0"/>
    <n v="199.45980326296035"/>
    <n v="0"/>
    <n v="0"/>
    <n v="0"/>
    <n v="13.319871259343131"/>
    <n v="0"/>
    <n v="-23.879155005029475"/>
    <m/>
    <n v="0"/>
    <n v="0"/>
    <n v="0"/>
    <n v="0"/>
    <n v="-3.5079182543518499"/>
    <n v="-0.78790856010431831"/>
    <n v="0"/>
    <n v="21.771115794551093"/>
    <m/>
    <m/>
    <m/>
    <n v="0"/>
    <n v="0"/>
    <n v="0"/>
    <n v="-4.3780500000000302"/>
    <n v="210.780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049999999999997"/>
    <n v="184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12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4.4130000000000003"/>
    <n v="4.4130000000000003"/>
    <n v="4.4130000000000003"/>
    <n v="4.4130000000000003"/>
    <m/>
    <n v="897.25"/>
    <n v="207.07"/>
    <m/>
    <n v="4873.3641600000001"/>
    <n v="4873.3641600000001"/>
    <n v="4888.1477100000002"/>
    <n v="0"/>
    <n v="347.56899276758952"/>
    <n v="0"/>
    <n v="0"/>
    <n v="0"/>
    <n v="880.60163800337909"/>
    <n v="2531.7173059132592"/>
    <n v="913.82184362317639"/>
    <n v="0"/>
    <n v="0"/>
    <n v="0"/>
    <n v="0"/>
    <n v="0"/>
    <n v="44.169406505073262"/>
    <m/>
    <n v="12.28998606319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20328924113045"/>
    <n v="0"/>
    <n v="0"/>
    <n v="0"/>
    <n v="0"/>
    <n v="0"/>
    <m/>
    <m/>
    <m/>
    <m/>
    <m/>
    <n v="586.57596000000012"/>
    <m/>
    <m/>
    <m/>
    <n v="1057.0251328643069"/>
    <m/>
    <m/>
    <m/>
    <m/>
    <m/>
    <m/>
    <m/>
    <m/>
    <m/>
    <m/>
    <m/>
    <m/>
    <n v="4298.6475"/>
    <n v="10.019969999999375"/>
    <m/>
    <m/>
    <m/>
    <m/>
    <n v="-131.81631000000002"/>
    <n v="146.59986000000001"/>
    <n v="31"/>
    <n v="327.48484502193833"/>
    <n v="0"/>
    <n v="0"/>
    <n v="0"/>
    <n v="0"/>
    <n v="0"/>
    <n v="0"/>
    <n v="0"/>
    <n v="189.39251698130829"/>
    <n v="0"/>
    <n v="0"/>
    <n v="138.72594354601142"/>
    <n v="0"/>
    <n v="0"/>
    <n v="0"/>
    <n v="21.739479700005546"/>
    <n v="0"/>
    <n v="-19.089827457079195"/>
    <m/>
    <n v="0"/>
    <n v="0"/>
    <n v="0"/>
    <n v="0"/>
    <n v="-2.439786171230061"/>
    <n v="-0.84348157707771065"/>
    <n v="0"/>
    <n v="77.23103261790196"/>
    <m/>
    <m/>
    <m/>
    <n v="2531.7173059132592"/>
    <n v="0"/>
    <n v="0"/>
    <n v="-131.81631000000016"/>
    <n v="146.59985999999992"/>
    <n v="0"/>
    <n v="0"/>
    <n v="-389.9285639441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.2589999999999999"/>
    <n v="2.2589999999999999"/>
    <n v="2.2589999999999999"/>
    <n v="2.2589999999999999"/>
    <m/>
    <n v="897.25"/>
    <n v="207.07"/>
    <m/>
    <n v="2494.65888"/>
    <n v="2494.65888"/>
    <n v="2502.2265299999999"/>
    <n v="0"/>
    <n v="177.91940962202236"/>
    <n v="0"/>
    <n v="0"/>
    <n v="0"/>
    <n v="450.77704515060799"/>
    <n v="1295.9776555762637"/>
    <n v="467.78235774864157"/>
    <n v="0"/>
    <n v="0"/>
    <n v="0"/>
    <n v="0"/>
    <n v="0"/>
    <n v="22.610172058681279"/>
    <m/>
    <n v="6.2912029269766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05286742740464"/>
    <n v="0"/>
    <n v="0"/>
    <n v="0"/>
    <n v="0"/>
    <n v="0"/>
    <m/>
    <m/>
    <m/>
    <m/>
    <m/>
    <n v="300.26627999999999"/>
    <m/>
    <m/>
    <m/>
    <n v="541.08764449138198"/>
    <m/>
    <m/>
    <m/>
    <m/>
    <m/>
    <m/>
    <m/>
    <m/>
    <m/>
    <m/>
    <m/>
    <m/>
    <n v="2202.9349999999995"/>
    <n v="7.5862099999994825"/>
    <m/>
    <m/>
    <m/>
    <m/>
    <n v="-67.476330000000004"/>
    <n v="75.043979999999991"/>
    <n v="31"/>
    <n v="167.63840129267146"/>
    <n v="0"/>
    <n v="0"/>
    <n v="0"/>
    <n v="0"/>
    <n v="0"/>
    <n v="0"/>
    <n v="0"/>
    <n v="96.949398563511352"/>
    <n v="0"/>
    <n v="0"/>
    <n v="71.013348395748892"/>
    <n v="0"/>
    <n v="0"/>
    <n v="0"/>
    <n v="11.128367242762863"/>
    <n v="0"/>
    <n v="-9.7720190857787941"/>
    <m/>
    <n v="0"/>
    <n v="0"/>
    <n v="0"/>
    <n v="0"/>
    <n v="-1.2489184139607303"/>
    <n v="-0.43177540961217975"/>
    <n v="0"/>
    <n v="39.534308335336618"/>
    <m/>
    <m/>
    <m/>
    <n v="1295.9776555762637"/>
    <n v="0"/>
    <n v="0"/>
    <n v="-67.476329999999962"/>
    <n v="75.043980000000033"/>
    <n v="0"/>
    <n v="0"/>
    <n v="-199.6031330047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"/>
    <s v="Não se aplica"/>
    <s v="Não se aplica"/>
    <s v="Não se aplica"/>
    <s v="CATIVO"/>
    <x v="7"/>
    <n v="0"/>
    <n v="0"/>
    <n v="748.33"/>
    <n v="748.33"/>
    <n v="748.33"/>
    <n v="748.33"/>
    <m/>
    <n v="897.25"/>
    <n v="207.07"/>
    <m/>
    <n v="826395.78560000006"/>
    <n v="826395.78560000006"/>
    <n v="828902.69109999994"/>
    <n v="0"/>
    <n v="58938.65949643559"/>
    <n v="0"/>
    <n v="0"/>
    <n v="0"/>
    <n v="149327.12979086078"/>
    <n v="429313.39486382715"/>
    <n v="154960.41247190835"/>
    <n v="0"/>
    <n v="0"/>
    <n v="0"/>
    <n v="0"/>
    <n v="0"/>
    <n v="7489.9823181376551"/>
    <m/>
    <n v="2084.0619240125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83.552557855237"/>
    <n v="0"/>
    <n v="1447.76"/>
    <n v="6706.53"/>
    <n v="0"/>
    <n v="6289"/>
    <m/>
    <m/>
    <m/>
    <m/>
    <m/>
    <m/>
    <m/>
    <m/>
    <m/>
    <n v="179243.96502976358"/>
    <m/>
    <m/>
    <m/>
    <m/>
    <m/>
    <m/>
    <m/>
    <m/>
    <m/>
    <m/>
    <m/>
    <m/>
    <n v="828902.69109999994"/>
    <n v="2506.8754999998491"/>
    <m/>
    <m/>
    <m/>
    <m/>
    <n v="-22352.617100000003"/>
    <n v="24859.5226"/>
    <n v="30"/>
    <n v="55532.910508784815"/>
    <n v="0"/>
    <n v="0"/>
    <n v="0"/>
    <n v="0"/>
    <n v="0"/>
    <n v="0"/>
    <n v="0"/>
    <n v="32116.044013737264"/>
    <n v="0"/>
    <n v="0"/>
    <n v="23524.311201855162"/>
    <n v="0"/>
    <n v="0"/>
    <n v="0"/>
    <n v="3686.4502252221027"/>
    <n v="0"/>
    <n v="-3237.138133006134"/>
    <m/>
    <n v="0"/>
    <n v="0"/>
    <n v="0"/>
    <n v="0"/>
    <n v="-413.72426592263491"/>
    <n v="-143.03253310096602"/>
    <n v="0"/>
    <n v="13096.374040098475"/>
    <m/>
    <m/>
    <m/>
    <n v="429313.39486382715"/>
    <n v="0"/>
    <n v="0"/>
    <n v="-22352.617100000032"/>
    <n v="24859.522599999997"/>
    <n v="0"/>
    <n v="0"/>
    <n v="-66121.74082400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90300000000000002"/>
    <n v="-0.90300000000000002"/>
    <n v="-0.90300000000000002"/>
    <n v="-0.90300000000000002"/>
    <m/>
    <n v="897.25"/>
    <n v="207.07"/>
    <m/>
    <n v="-997.20096000000001"/>
    <n v="-997.20096000000001"/>
    <n v="-1000.22601"/>
    <n v="0"/>
    <n v="-71.12050769751491"/>
    <n v="0"/>
    <n v="0"/>
    <n v="0"/>
    <n v="-180.19108976139842"/>
    <n v="-518.04684505770967"/>
    <n v="-186.98869811731888"/>
    <n v="0"/>
    <n v="0"/>
    <n v="0"/>
    <n v="0"/>
    <n v="0"/>
    <n v="-9.0380634656880012"/>
    <m/>
    <n v="-2.514810200557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302644501414186"/>
    <n v="0"/>
    <n v="0"/>
    <n v="0"/>
    <n v="0"/>
    <n v="0"/>
    <m/>
    <m/>
    <m/>
    <m/>
    <m/>
    <m/>
    <m/>
    <m/>
    <m/>
    <n v="-216.29134261873307"/>
    <m/>
    <m/>
    <m/>
    <m/>
    <m/>
    <m/>
    <m/>
    <m/>
    <m/>
    <m/>
    <m/>
    <m/>
    <n v="-996.90300000000002"/>
    <n v="0.26796000000001641"/>
    <m/>
    <m/>
    <m/>
    <m/>
    <n v="26.972610000000003"/>
    <n v="-29.99766"/>
    <n v="30"/>
    <n v="-67.010835045277645"/>
    <n v="0"/>
    <n v="0"/>
    <n v="0"/>
    <n v="0"/>
    <n v="0"/>
    <n v="0"/>
    <n v="0"/>
    <n v="-38.754009253143323"/>
    <n v="0"/>
    <n v="0"/>
    <n v="-28.38647791118251"/>
    <n v="0"/>
    <n v="0"/>
    <n v="0"/>
    <n v="-4.4483911554736011"/>
    <n v="0"/>
    <n v="3.9062121445144982"/>
    <m/>
    <n v="0"/>
    <n v="0"/>
    <n v="0"/>
    <n v="0"/>
    <n v="0.49923564754605465"/>
    <n v="0.17259548246117662"/>
    <n v="0"/>
    <n v="-15.803222853833098"/>
    <m/>
    <m/>
    <m/>
    <n v="-518.04684505770967"/>
    <n v="0"/>
    <n v="0"/>
    <n v="26.972610000000032"/>
    <n v="-29.997659999999996"/>
    <n v="0"/>
    <n v="0"/>
    <n v="79.78823776151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0919999999999996"/>
    <n v="5.0919999999999996"/>
    <n v="5.0919999999999996"/>
    <n v="5.0919999999999996"/>
    <m/>
    <n v="897.25"/>
    <n v="207.07"/>
    <m/>
    <n v="5623.1974399999999"/>
    <n v="5623.1974399999999"/>
    <n v="5640.2556399999994"/>
    <n v="0"/>
    <n v="401.04720398199993"/>
    <n v="0"/>
    <n v="0"/>
    <n v="0"/>
    <n v="1016.0941628627251"/>
    <n v="2921.2564064605285"/>
    <n v="1054.4257484090672"/>
    <n v="0"/>
    <n v="0"/>
    <n v="0"/>
    <n v="0"/>
    <n v="0"/>
    <n v="50.965469731210739"/>
    <m/>
    <n v="14.18096737678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23706068793024"/>
    <n v="0"/>
    <n v="3.67"/>
    <n v="17.11"/>
    <n v="0"/>
    <n v="49"/>
    <m/>
    <m/>
    <m/>
    <m/>
    <m/>
    <m/>
    <m/>
    <m/>
    <m/>
    <n v="1219.6628090969975"/>
    <m/>
    <m/>
    <m/>
    <m/>
    <m/>
    <m/>
    <m/>
    <m/>
    <m/>
    <m/>
    <m/>
    <m/>
    <n v="5638.0402999999997"/>
    <n v="14.812859999999091"/>
    <m/>
    <m/>
    <m/>
    <m/>
    <n v="-152.09804000000003"/>
    <n v="169.15623999999997"/>
    <n v="30"/>
    <n v="377.87283726528676"/>
    <n v="0"/>
    <n v="0"/>
    <n v="0"/>
    <n v="0"/>
    <n v="0"/>
    <n v="0"/>
    <n v="0"/>
    <n v="218.53312859026107"/>
    <n v="0"/>
    <n v="0"/>
    <n v="160.07081453348974"/>
    <n v="0"/>
    <n v="0"/>
    <n v="0"/>
    <n v="25.084393979702753"/>
    <n v="0"/>
    <n v="-22.027056744039726"/>
    <m/>
    <n v="0"/>
    <n v="0"/>
    <n v="0"/>
    <n v="0"/>
    <n v="-2.8151804178344548"/>
    <n v="-0.97326267629270369"/>
    <n v="0"/>
    <n v="89.114076159156298"/>
    <m/>
    <m/>
    <m/>
    <n v="2921.2564064605285"/>
    <n v="0"/>
    <n v="0"/>
    <n v="-152.09803999999986"/>
    <n v="169.15624000000003"/>
    <n v="0"/>
    <n v="0"/>
    <n v="-449.9243706330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.64"/>
    <n v="2.64"/>
    <n v="2.64"/>
    <n v="2.64"/>
    <m/>
    <n v="808.48"/>
    <n v="207.07"/>
    <m/>
    <n v="2681.0520000000001"/>
    <n v="2681.0520000000001"/>
    <n v="2698.6608000000001"/>
    <n v="0"/>
    <n v="0"/>
    <n v="0"/>
    <n v="0"/>
    <n v="0"/>
    <n v="526.80451491704525"/>
    <n v="1514.5555603016098"/>
    <n v="546.67792140611505"/>
    <n v="0"/>
    <n v="0"/>
    <n v="0"/>
    <n v="0"/>
    <n v="0"/>
    <n v="0"/>
    <m/>
    <n v="7.3522690248864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68861000812242"/>
    <n v="0"/>
    <n v="2.66"/>
    <n v="12.61"/>
    <n v="0"/>
    <n v="5"/>
    <m/>
    <m/>
    <m/>
    <m/>
    <m/>
    <m/>
    <m/>
    <n v="1754.1215999999999"/>
    <m/>
    <n v="632.34678240692733"/>
    <m/>
    <m/>
    <m/>
    <m/>
    <m/>
    <m/>
    <m/>
    <m/>
    <m/>
    <m/>
    <m/>
    <m/>
    <n v="944.53920000000005"/>
    <n v="6.1211999999999307"/>
    <m/>
    <m/>
    <m/>
    <m/>
    <n v="-70.092000000000183"/>
    <n v="87.700800000000001"/>
    <n v="30"/>
    <n v="208.79179035500852"/>
    <n v="0"/>
    <n v="0"/>
    <n v="0"/>
    <n v="0"/>
    <n v="0"/>
    <n v="0"/>
    <n v="0"/>
    <n v="113.30075794938909"/>
    <n v="0"/>
    <n v="0"/>
    <n v="82.990367315085109"/>
    <n v="0"/>
    <n v="0"/>
    <n v="0"/>
    <n v="13.005263178793243"/>
    <n v="0"/>
    <n v="0"/>
    <m/>
    <n v="0"/>
    <n v="0"/>
    <n v="0"/>
    <n v="0"/>
    <n v="0"/>
    <n v="-0.50459808825859032"/>
    <n v="0"/>
    <n v="42.096396400534395"/>
    <m/>
    <m/>
    <m/>
    <n v="1514.5555603016098"/>
    <n v="0"/>
    <n v="0"/>
    <n v="-70.092000000000098"/>
    <n v="87.700799999999958"/>
    <n v="0"/>
    <n v="0"/>
    <n v="-233.2679376416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.03"/>
    <n v="5.03"/>
    <n v="5.03"/>
    <n v="5.03"/>
    <m/>
    <n v="808.48"/>
    <n v="207.07"/>
    <m/>
    <n v="5108.2165000000005"/>
    <n v="5108.2165000000005"/>
    <n v="5141.7665999999999"/>
    <n v="0"/>
    <n v="0"/>
    <n v="0"/>
    <n v="0"/>
    <n v="0"/>
    <n v="1003.7222386487642"/>
    <n v="2885.6872986049611"/>
    <n v="1041.5871002548329"/>
    <n v="0"/>
    <n v="0"/>
    <n v="0"/>
    <n v="0"/>
    <n v="0"/>
    <n v="0"/>
    <m/>
    <n v="14.008300452719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22514046745664"/>
    <n v="0"/>
    <n v="8.08"/>
    <n v="37.43"/>
    <n v="0"/>
    <n v="28"/>
    <m/>
    <m/>
    <m/>
    <m/>
    <m/>
    <m/>
    <m/>
    <n v="2056.6663999999996"/>
    <m/>
    <n v="1204.8122407222895"/>
    <m/>
    <m/>
    <m/>
    <m/>
    <m/>
    <m/>
    <m/>
    <m/>
    <m/>
    <m/>
    <m/>
    <m/>
    <n v="3085.1001999999999"/>
    <n v="20.140299999999115"/>
    <m/>
    <m/>
    <m/>
    <m/>
    <n v="-133.54650000000035"/>
    <n v="167.0966"/>
    <n v="30"/>
    <n v="397.81163086579363"/>
    <n v="0"/>
    <n v="0"/>
    <n v="0"/>
    <n v="0"/>
    <n v="0"/>
    <n v="0"/>
    <n v="0"/>
    <n v="215.8722774566013"/>
    <n v="0"/>
    <n v="0"/>
    <n v="158.12179833139317"/>
    <n v="0"/>
    <n v="0"/>
    <n v="0"/>
    <n v="24.778967344443231"/>
    <n v="0"/>
    <n v="0"/>
    <m/>
    <n v="0"/>
    <n v="0"/>
    <n v="0"/>
    <n v="0"/>
    <n v="0"/>
    <n v="-0.9614122666442082"/>
    <n v="0"/>
    <n v="80.206391626775769"/>
    <m/>
    <m/>
    <m/>
    <n v="2885.6872986049611"/>
    <n v="0"/>
    <n v="0"/>
    <n v="-133.54650000000038"/>
    <n v="167.09659999999985"/>
    <n v="0"/>
    <n v="0"/>
    <n v="-444.4461084611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.488"/>
    <n v="2.488"/>
    <n v="2.488"/>
    <n v="2.488"/>
    <m/>
    <n v="808.48"/>
    <n v="207.07"/>
    <m/>
    <n v="2526.6884"/>
    <n v="2526.6884"/>
    <n v="2543.2833599999999"/>
    <n v="0"/>
    <n v="0"/>
    <n v="0"/>
    <n v="0"/>
    <n v="0"/>
    <n v="496.47334587636686"/>
    <n v="1427.3538765266685"/>
    <n v="515.20252593121745"/>
    <n v="0"/>
    <n v="0"/>
    <n v="0"/>
    <n v="0"/>
    <n v="0"/>
    <n v="0"/>
    <m/>
    <n v="6.92895656587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6411428038195"/>
    <n v="0"/>
    <n v="5.97"/>
    <n v="27.69"/>
    <n v="0"/>
    <n v="51"/>
    <m/>
    <m/>
    <m/>
    <m/>
    <m/>
    <m/>
    <m/>
    <n v="254.32335999999987"/>
    <m/>
    <n v="595.93893735925565"/>
    <m/>
    <m/>
    <m/>
    <m/>
    <m/>
    <m/>
    <m/>
    <m/>
    <m/>
    <m/>
    <m/>
    <m/>
    <n v="2290.8000000000002"/>
    <n v="16.738000000000284"/>
    <m/>
    <m/>
    <m/>
    <m/>
    <n v="-66.056400000000167"/>
    <n v="82.651359999999997"/>
    <n v="30"/>
    <n v="196.77044484972066"/>
    <n v="0"/>
    <n v="0"/>
    <n v="0"/>
    <n v="0"/>
    <n v="0"/>
    <n v="0"/>
    <n v="0"/>
    <n v="106.77738097654554"/>
    <n v="0"/>
    <n v="0"/>
    <n v="78.212134045428684"/>
    <n v="0"/>
    <n v="0"/>
    <n v="0"/>
    <n v="12.25647529880213"/>
    <n v="0"/>
    <n v="0"/>
    <m/>
    <n v="0"/>
    <n v="0"/>
    <n v="0"/>
    <n v="0"/>
    <n v="0"/>
    <n v="-0.47554547105582312"/>
    <n v="0"/>
    <n v="39.67266448656423"/>
    <m/>
    <m/>
    <m/>
    <n v="1427.3538765266685"/>
    <n v="0"/>
    <n v="0"/>
    <n v="-66.056400000000167"/>
    <n v="82.651359999999954"/>
    <n v="0"/>
    <n v="0"/>
    <n v="-219.83735941378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222"/>
    <n v="0.222"/>
    <n v="0.222"/>
    <n v="0.222"/>
    <m/>
    <n v="808.48"/>
    <n v="207.07"/>
    <m/>
    <n v="225.4521"/>
    <n v="225.4521"/>
    <n v="226.93284"/>
    <n v="0"/>
    <n v="0"/>
    <n v="0"/>
    <n v="0"/>
    <n v="0"/>
    <n v="44.29947057256971"/>
    <n v="127.36035393445354"/>
    <n v="45.97064339096876"/>
    <n v="0"/>
    <n v="0"/>
    <n v="0"/>
    <n v="0"/>
    <n v="0"/>
    <n v="0"/>
    <m/>
    <n v="0.6182589861836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039724023410292"/>
    <n v="0"/>
    <n v="1.42"/>
    <n v="6.53"/>
    <n v="0"/>
    <n v="4"/>
    <m/>
    <m/>
    <m/>
    <m/>
    <m/>
    <m/>
    <m/>
    <m/>
    <m/>
    <n v="53.17461579330979"/>
    <m/>
    <m/>
    <m/>
    <m/>
    <m/>
    <m/>
    <m/>
    <m/>
    <m/>
    <m/>
    <m/>
    <m/>
    <n v="224.88839999999999"/>
    <n v="-0.59369999999998413"/>
    <m/>
    <m/>
    <m/>
    <m/>
    <n v="-5.894100000000015"/>
    <n v="7.3748399999999998"/>
    <n v="30"/>
    <n v="17.557491461671205"/>
    <n v="0"/>
    <n v="0"/>
    <n v="0"/>
    <n v="0"/>
    <n v="0"/>
    <n v="0"/>
    <n v="0"/>
    <n v="9.5275637366531782"/>
    <n v="0"/>
    <n v="0"/>
    <n v="6.9787354333139717"/>
    <n v="0"/>
    <n v="0"/>
    <n v="0"/>
    <n v="1.0936244036712504"/>
    <n v="0"/>
    <n v="0"/>
    <m/>
    <n v="0"/>
    <n v="0"/>
    <n v="0"/>
    <n v="0"/>
    <n v="0"/>
    <n v="-4.2432111967199648E-2"/>
    <n v="0"/>
    <n v="3.5399242427722104"/>
    <m/>
    <m/>
    <m/>
    <n v="127.36035393445354"/>
    <n v="0"/>
    <n v="0"/>
    <n v="-5.8941000000000088"/>
    <n v="7.374839999999999"/>
    <n v="0"/>
    <n v="0"/>
    <n v="-19.61571293804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1"/>
    <s v="Regular"/>
    <s v="Branca"/>
    <s v="B1"/>
    <s v="Residencial"/>
    <s v="Residencial"/>
    <s v="Não se aplica"/>
    <s v="Não se aplica"/>
    <s v="Fora ponta"/>
    <s v="CATIVO"/>
    <x v="7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2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7"/>
    <n v="0"/>
    <n v="0"/>
    <n v="5.8319999999999999"/>
    <n v="5.8319999999999999"/>
    <n v="5.8319999999999999"/>
    <n v="5.8319999999999999"/>
    <m/>
    <n v="897.25"/>
    <n v="207.07"/>
    <m/>
    <n v="6440.3942399999996"/>
    <n v="6440.3942399999996"/>
    <n v="6459.9314400000003"/>
    <n v="0"/>
    <n v="459.32979057797007"/>
    <n v="0"/>
    <n v="0"/>
    <n v="0"/>
    <n v="1163.7590647712907"/>
    <n v="3345.7909195753741"/>
    <n v="1207.6612263789632"/>
    <n v="0"/>
    <n v="0"/>
    <n v="0"/>
    <n v="0"/>
    <n v="0"/>
    <n v="58.372077665440116"/>
    <m/>
    <n v="16.241830664067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25030202906703"/>
    <n v="0"/>
    <n v="0"/>
    <n v="0"/>
    <n v="0"/>
    <n v="9"/>
    <m/>
    <m/>
    <m/>
    <m/>
    <m/>
    <m/>
    <m/>
    <m/>
    <m/>
    <n v="1396.9115284080303"/>
    <m/>
    <m/>
    <m/>
    <m/>
    <m/>
    <m/>
    <m/>
    <m/>
    <m/>
    <m/>
    <m/>
    <m/>
    <n v="6457.7160999999996"/>
    <n v="17.29185999999936"/>
    <m/>
    <m/>
    <m/>
    <m/>
    <n v="-174.20184000000003"/>
    <n v="193.73903999999999"/>
    <n v="30"/>
    <n v="432.78758580737531"/>
    <n v="0"/>
    <n v="0"/>
    <n v="0"/>
    <n v="0"/>
    <n v="0"/>
    <n v="0"/>
    <n v="0"/>
    <n v="250.29167437910519"/>
    <n v="0"/>
    <n v="0"/>
    <n v="183.33326597786959"/>
    <n v="0"/>
    <n v="0"/>
    <n v="0"/>
    <n v="28.729808658606913"/>
    <n v="0"/>
    <n v="-25.228160827030536"/>
    <m/>
    <n v="0"/>
    <n v="0"/>
    <n v="0"/>
    <n v="0"/>
    <n v="-3.2242993316595729"/>
    <n v="-1.1147030495167023"/>
    <n v="0"/>
    <n v="102.06466853106825"/>
    <m/>
    <m/>
    <m/>
    <n v="3345.7909195753741"/>
    <n v="0"/>
    <n v="0"/>
    <n v="-174.20183999999972"/>
    <n v="193.73903999999993"/>
    <n v="0"/>
    <n v="0"/>
    <n v="-515.3100804265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54100000000000004"/>
    <n v="0.54100000000000004"/>
    <n v="0.54100000000000004"/>
    <n v="0.54100000000000004"/>
    <m/>
    <n v="897.25"/>
    <n v="207.07"/>
    <m/>
    <n v="597.43712000000005"/>
    <n v="597.43712000000005"/>
    <n v="599.24946999999997"/>
    <n v="0"/>
    <n v="42.609296416783579"/>
    <n v="0"/>
    <n v="0"/>
    <n v="0"/>
    <n v="107.95501612504601"/>
    <n v="310.36915080423137"/>
    <n v="112.02755889420766"/>
    <n v="0"/>
    <n v="0"/>
    <n v="0"/>
    <n v="0"/>
    <n v="0"/>
    <n v="5.4148309357001212"/>
    <m/>
    <n v="1.5066581600240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55626439939175"/>
    <n v="0"/>
    <n v="0"/>
    <n v="0"/>
    <n v="0"/>
    <n v="1"/>
    <m/>
    <m/>
    <m/>
    <m/>
    <m/>
    <m/>
    <m/>
    <m/>
    <m/>
    <n v="129.58318533414683"/>
    <m/>
    <m/>
    <m/>
    <m/>
    <m/>
    <m/>
    <m/>
    <m/>
    <m/>
    <m/>
    <m/>
    <m/>
    <n v="598.1418000000001"/>
    <n v="0.67468000000008033"/>
    <m/>
    <m/>
    <m/>
    <m/>
    <n v="-16.159670000000002"/>
    <n v="17.972020000000001"/>
    <n v="30"/>
    <n v="40.147133731445479"/>
    <n v="0"/>
    <n v="0"/>
    <n v="0"/>
    <n v="0"/>
    <n v="0"/>
    <n v="0"/>
    <n v="0"/>
    <n v="23.218071988871046"/>
    <n v="0"/>
    <n v="0"/>
    <n v="17.006738150553417"/>
    <n v="0"/>
    <n v="0"/>
    <n v="0"/>
    <n v="2.6650937044421035"/>
    <n v="0"/>
    <n v="-2.3402666336460101"/>
    <m/>
    <n v="0"/>
    <n v="0"/>
    <n v="0"/>
    <n v="0"/>
    <n v="-0.299099097809985"/>
    <n v="-0.1034043809651124"/>
    <n v="0"/>
    <n v="9.467933071897793"/>
    <m/>
    <m/>
    <m/>
    <n v="310.36915080423137"/>
    <n v="0"/>
    <n v="0"/>
    <n v="-16.159670000000006"/>
    <n v="17.972020000000001"/>
    <n v="0"/>
    <n v="0"/>
    <n v="-47.80225540307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7"/>
    <n v="0"/>
    <n v="0"/>
    <n v="1.024"/>
    <n v="1.024"/>
    <n v="1.024"/>
    <n v="1.024"/>
    <m/>
    <n v="4750.8599999999997"/>
    <n v="207.07"/>
    <m/>
    <n v="5076.9203199999993"/>
    <n v="5076.9203199999993"/>
    <n v="4945.8892800000003"/>
    <n v="0"/>
    <n v="70.165933441375444"/>
    <n v="0"/>
    <n v="0"/>
    <n v="0"/>
    <n v="1318.2336101670401"/>
    <n v="3450.2182693353061"/>
    <n v="212.04476951509915"/>
    <n v="0"/>
    <n v="0"/>
    <n v="0"/>
    <n v="0"/>
    <n v="0"/>
    <n v="10.249143952230913"/>
    <m/>
    <n v="1.8527632937688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60291873117595"/>
    <n v="0"/>
    <n v="0"/>
    <n v="0"/>
    <n v="0"/>
    <n v="0"/>
    <m/>
    <m/>
    <m/>
    <m/>
    <m/>
    <m/>
    <m/>
    <m/>
    <m/>
    <n v="226.20506138821673"/>
    <m/>
    <m/>
    <m/>
    <m/>
    <m/>
    <m/>
    <m/>
    <m/>
    <m/>
    <m/>
    <m/>
    <m/>
    <n v="4926.5694000000003"/>
    <n v="-150.38091999999961"/>
    <m/>
    <m/>
    <m/>
    <m/>
    <n v="-165.04831999999936"/>
    <n v="34.01728"/>
    <n v="30"/>
    <n v="313.30756452522178"/>
    <n v="0"/>
    <n v="0"/>
    <n v="0"/>
    <n v="0"/>
    <n v="0"/>
    <n v="0"/>
    <n v="0"/>
    <n v="283.5147819676672"/>
    <n v="0"/>
    <n v="0"/>
    <n v="32.190203079790592"/>
    <n v="0"/>
    <n v="0"/>
    <n v="0"/>
    <n v="2.1496529818073089"/>
    <n v="0"/>
    <n v="-3.8537832506146827"/>
    <m/>
    <n v="0"/>
    <n v="0"/>
    <n v="0"/>
    <n v="0"/>
    <n v="-0.56613211859043311"/>
    <n v="-0.12715813483795468"/>
    <n v="0"/>
    <n v="87.054687580097763"/>
    <m/>
    <m/>
    <m/>
    <n v="3450.2182693353061"/>
    <n v="0"/>
    <n v="0"/>
    <n v="-165.04831999999897"/>
    <n v="34.01728"/>
    <n v="0"/>
    <n v="0"/>
    <n v="-531.3937112621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6"/>
    <s v="Regular"/>
    <s v="Verde"/>
    <s v="A4"/>
    <s v="Industrial"/>
    <s v="Não se aplica"/>
    <s v="Não se aplica"/>
    <s v="Não se aplica"/>
    <s v="Fora ponta"/>
    <s v="CATIVO"/>
    <x v="7"/>
    <n v="0"/>
    <n v="0"/>
    <n v="119.455"/>
    <n v="119.455"/>
    <n v="119.455"/>
    <n v="119.455"/>
    <m/>
    <n v="94.17"/>
    <n v="207.07"/>
    <m/>
    <n v="35984.624199999998"/>
    <n v="35984.624199999998"/>
    <n v="39870.495349999997"/>
    <n v="0"/>
    <n v="8185.2261516010776"/>
    <n v="0"/>
    <n v="0"/>
    <n v="0"/>
    <n v="0"/>
    <n v="0"/>
    <n v="24736.140568775554"/>
    <n v="0"/>
    <n v="0"/>
    <n v="0"/>
    <n v="0"/>
    <n v="0"/>
    <n v="1195.6166902477964"/>
    <m/>
    <n v="216.13460864957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1.872720413342"/>
    <n v="0"/>
    <n v="0"/>
    <n v="0"/>
    <n v="0"/>
    <n v="0"/>
    <m/>
    <m/>
    <m/>
    <m/>
    <m/>
    <m/>
    <m/>
    <m/>
    <m/>
    <n v="26388.013289188897"/>
    <m/>
    <m/>
    <m/>
    <m/>
    <m/>
    <m/>
    <m/>
    <m/>
    <m/>
    <m/>
    <m/>
    <m/>
    <n v="39872.164199999999"/>
    <n v="3887.510000000002"/>
    <m/>
    <m/>
    <m/>
    <m/>
    <n v="-82.423949999999721"/>
    <n v="3968.2950999999998"/>
    <n v="30"/>
    <n v="3475.4851957155479"/>
    <n v="0"/>
    <n v="0"/>
    <n v="0"/>
    <n v="0"/>
    <n v="0"/>
    <n v="0"/>
    <n v="0"/>
    <n v="0"/>
    <n v="0"/>
    <n v="0"/>
    <n v="3755.1569422816247"/>
    <n v="0"/>
    <n v="0"/>
    <n v="0"/>
    <n v="250.76835638846887"/>
    <n v="0"/>
    <n v="-449.56413886931387"/>
    <m/>
    <n v="0"/>
    <n v="0"/>
    <n v="0"/>
    <n v="0"/>
    <n v="-66.042297095918002"/>
    <n v="-14.833666989324087"/>
    <n v="0"/>
    <n v="409.87685378063054"/>
    <m/>
    <m/>
    <m/>
    <n v="0"/>
    <n v="0"/>
    <n v="0"/>
    <n v="-82.423949999998513"/>
    <n v="3968.295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Não se aplica"/>
    <s v="CATIVO"/>
    <x v="7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28"/>
    <s v="Regular"/>
    <s v="Convencional"/>
    <s v="B3"/>
    <s v="Comercial"/>
    <s v="Não se aplica"/>
    <s v="Não se aplica"/>
    <s v="Não se aplica"/>
    <s v="Não se aplica"/>
    <s v="CATIVO"/>
    <x v="7"/>
    <n v="0"/>
    <n v="0"/>
    <n v="98.225999999999999"/>
    <n v="98.225999999999999"/>
    <n v="98.225999999999999"/>
    <n v="98.225999999999999"/>
    <m/>
    <n v="897.25"/>
    <n v="207.07"/>
    <m/>
    <n v="108472.93632000001"/>
    <n v="108472.93632000001"/>
    <n v="108801.99342"/>
    <n v="0"/>
    <n v="7736.3045283456258"/>
    <n v="0"/>
    <n v="0"/>
    <n v="0"/>
    <n v="19600.719803879427"/>
    <n v="56351.793358403753"/>
    <n v="20340.14602577161"/>
    <n v="0"/>
    <n v="0"/>
    <n v="0"/>
    <n v="0"/>
    <n v="0"/>
    <n v="983.1371229021812"/>
    <m/>
    <n v="273.55453683276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7.4657351006749"/>
    <n v="0"/>
    <n v="190.16"/>
    <n v="878.95"/>
    <n v="0"/>
    <n v="238"/>
    <m/>
    <m/>
    <m/>
    <m/>
    <m/>
    <m/>
    <m/>
    <m/>
    <m/>
    <n v="23527.611760872285"/>
    <m/>
    <m/>
    <m/>
    <m/>
    <m/>
    <m/>
    <m/>
    <m/>
    <m/>
    <m/>
    <m/>
    <m/>
    <n v="108806.4241"/>
    <n v="333.45778000001155"/>
    <m/>
    <m/>
    <m/>
    <m/>
    <n v="-2934.0106200000005"/>
    <n v="3263.06772"/>
    <n v="30"/>
    <n v="7289.2649868853186"/>
    <n v="0"/>
    <n v="0"/>
    <n v="0"/>
    <n v="0"/>
    <n v="0"/>
    <n v="0"/>
    <n v="0"/>
    <n v="4215.5607008851111"/>
    <n v="0"/>
    <n v="0"/>
    <n v="3087.8075075346787"/>
    <n v="0"/>
    <n v="0"/>
    <n v="0"/>
    <n v="483.88446250005563"/>
    <n v="0"/>
    <n v="-424.90763467007946"/>
    <m/>
    <n v="0"/>
    <n v="0"/>
    <n v="0"/>
    <n v="0"/>
    <n v="-54.305560039710826"/>
    <n v="-18.774489324730382"/>
    <n v="0"/>
    <n v="1719.0336301667885"/>
    <m/>
    <m/>
    <m/>
    <n v="56351.793358403753"/>
    <n v="0"/>
    <n v="0"/>
    <n v="-2934.0106200000009"/>
    <n v="3263.0677199999991"/>
    <n v="0"/>
    <n v="0"/>
    <n v="-8679.15774348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94199999999999995"/>
    <n v="0.94199999999999995"/>
    <n v="0.94199999999999995"/>
    <n v="0.94199999999999995"/>
    <m/>
    <n v="897.25"/>
    <n v="207.07"/>
    <m/>
    <n v="1040.26944"/>
    <n v="1040.26944"/>
    <n v="1043.4251400000001"/>
    <n v="0"/>
    <n v="74.192157531626847"/>
    <n v="0"/>
    <n v="0"/>
    <n v="0"/>
    <n v="187.97342918630932"/>
    <n v="540.42096128943797"/>
    <n v="195.06462195627284"/>
    <n v="0"/>
    <n v="0"/>
    <n v="0"/>
    <n v="0"/>
    <n v="0"/>
    <n v="9.4284117216811705"/>
    <m/>
    <n v="2.623423265698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68207220744362"/>
    <n v="0"/>
    <n v="4.53"/>
    <n v="20.92"/>
    <n v="0"/>
    <n v="7"/>
    <m/>
    <m/>
    <m/>
    <m/>
    <m/>
    <m/>
    <m/>
    <m/>
    <m/>
    <n v="225.63282917701721"/>
    <m/>
    <m/>
    <m/>
    <m/>
    <m/>
    <m/>
    <m/>
    <m/>
    <m/>
    <m/>
    <m/>
    <m/>
    <n v="1041.2097999999999"/>
    <n v="0.91035999999985506"/>
    <m/>
    <m/>
    <m/>
    <m/>
    <n v="-28.137540000000001"/>
    <n v="31.293239999999997"/>
    <n v="30"/>
    <n v="69.904990711685059"/>
    <n v="0"/>
    <n v="0"/>
    <n v="0"/>
    <n v="0"/>
    <n v="0"/>
    <n v="0"/>
    <n v="0"/>
    <n v="40.427770450122921"/>
    <n v="0"/>
    <n v="0"/>
    <n v="29.612471973791713"/>
    <n v="0"/>
    <n v="0"/>
    <n v="0"/>
    <n v="4.6405143615239552"/>
    <n v="0"/>
    <n v="-4.0749189813207778"/>
    <m/>
    <n v="0"/>
    <n v="0"/>
    <n v="0"/>
    <n v="0"/>
    <n v="-0.52079732003143242"/>
    <n v="-0.18004977240136055"/>
    <n v="0"/>
    <n v="16.485754073433863"/>
    <m/>
    <m/>
    <m/>
    <n v="540.42096128943797"/>
    <n v="0"/>
    <n v="0"/>
    <n v="-28.137539999999944"/>
    <n v="31.293239999999997"/>
    <n v="0"/>
    <n v="0"/>
    <n v="-83.2342413857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0"/>
    <s v="Regular"/>
    <s v="Azul"/>
    <s v="A4"/>
    <s v="Comercial"/>
    <s v="Não se aplica"/>
    <s v="Não se aplica"/>
    <s v="Não se aplica"/>
    <s v="Ponta"/>
    <s v="CATIVO"/>
    <x v="7"/>
    <n v="100"/>
    <n v="100"/>
    <n v="3.3519999999999999"/>
    <n v="3.3519999999999999"/>
    <n v="3.3519999999999999"/>
    <n v="3.3519999999999999"/>
    <n v="193.63"/>
    <n v="94.17"/>
    <n v="207.07"/>
    <n v="19363"/>
    <n v="1009.75648"/>
    <n v="20372.75648"/>
    <n v="19813.797039999998"/>
    <n v="0"/>
    <n v="229.68379774950242"/>
    <n v="0"/>
    <n v="0"/>
    <n v="0"/>
    <n v="5352.7545792855199"/>
    <n v="14009.762805225198"/>
    <n v="694.1153002095823"/>
    <n v="0"/>
    <n v="0"/>
    <n v="0"/>
    <n v="0"/>
    <n v="0"/>
    <n v="33.549932156130872"/>
    <m/>
    <n v="6.0649048444465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352830428408375"/>
    <n v="0"/>
    <n v="0"/>
    <n v="0"/>
    <n v="0"/>
    <n v="0"/>
    <m/>
    <m/>
    <m/>
    <m/>
    <m/>
    <m/>
    <m/>
    <m/>
    <m/>
    <n v="740.46813063799073"/>
    <m/>
    <m/>
    <m/>
    <m/>
    <m/>
    <m/>
    <m/>
    <m/>
    <m/>
    <m/>
    <m/>
    <m/>
    <n v="19813.129499999999"/>
    <n v="-559.65697999999611"/>
    <m/>
    <m/>
    <m/>
    <m/>
    <n v="-670.31288000000063"/>
    <n v="111.35343999999999"/>
    <n v="30"/>
    <n v="1248.7509947576464"/>
    <n v="0"/>
    <n v="0"/>
    <n v="0"/>
    <n v="0"/>
    <n v="0"/>
    <n v="0"/>
    <n v="0"/>
    <n v="1151.2261831043998"/>
    <n v="0"/>
    <n v="0"/>
    <n v="105.37261789400202"/>
    <n v="0"/>
    <n v="0"/>
    <n v="0"/>
    <n v="7.0367546826348573"/>
    <n v="0"/>
    <n v="-12.615118609434006"/>
    <m/>
    <n v="0"/>
    <n v="0"/>
    <n v="0"/>
    <n v="0"/>
    <n v="-1.8531981069483656"/>
    <n v="-0.4162442070086172"/>
    <n v="0"/>
    <n v="350.72398564319718"/>
    <m/>
    <m/>
    <n v="14009.762805225198"/>
    <n v="0"/>
    <n v="0"/>
    <n v="0"/>
    <n v="-670.31288000000131"/>
    <n v="111.3534399999999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1"/>
    <s v="Regular"/>
    <s v="Azul"/>
    <s v="A4"/>
    <s v="Comercial"/>
    <s v="Não se aplica"/>
    <s v="Não se aplica"/>
    <s v="Não se aplica"/>
    <s v="Fora ponta"/>
    <s v="CATIVO"/>
    <x v="7"/>
    <n v="100"/>
    <n v="100"/>
    <n v="31.263000000000002"/>
    <n v="31.263000000000002"/>
    <n v="31.263000000000002"/>
    <n v="31.263000000000002"/>
    <n v="73.75"/>
    <n v="94.17"/>
    <n v="207.07"/>
    <n v="7375"/>
    <n v="9417.6661200000017"/>
    <n v="16792.666120000002"/>
    <n v="17875.651510000003"/>
    <n v="0"/>
    <n v="2142.1851339626178"/>
    <n v="0"/>
    <n v="0"/>
    <n v="0"/>
    <n v="2905.8255513392301"/>
    <n v="4469.1623472813199"/>
    <n v="6473.7847942876415"/>
    <n v="0"/>
    <n v="0"/>
    <n v="0"/>
    <n v="0"/>
    <n v="0"/>
    <n v="312.90916736190917"/>
    <m/>
    <n v="56.56536997372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31758284108923"/>
    <n v="0"/>
    <n v="0"/>
    <n v="0"/>
    <n v="0"/>
    <n v="0"/>
    <m/>
    <m/>
    <m/>
    <m/>
    <m/>
    <m/>
    <m/>
    <m/>
    <m/>
    <n v="6906.102377128731"/>
    <m/>
    <m/>
    <m/>
    <m/>
    <m/>
    <m/>
    <m/>
    <m/>
    <m/>
    <m/>
    <m/>
    <m/>
    <n v="17874.6502"/>
    <n v="1081.9540799999995"/>
    <m/>
    <m/>
    <m/>
    <m/>
    <n v="44.428529999999725"/>
    <n v="1038.5568599999999"/>
    <n v="30"/>
    <n v="1534.5427238927787"/>
    <n v="0"/>
    <n v="0"/>
    <n v="0"/>
    <n v="0"/>
    <n v="0"/>
    <n v="0"/>
    <n v="0"/>
    <n v="624.9609259466497"/>
    <n v="0"/>
    <n v="0"/>
    <n v="982.77570203466075"/>
    <n v="0"/>
    <n v="0"/>
    <n v="0"/>
    <n v="65.629493330314347"/>
    <n v="0"/>
    <n v="-117.65705641012391"/>
    <m/>
    <n v="0"/>
    <n v="0"/>
    <n v="0"/>
    <n v="0"/>
    <n v="-17.284168382317034"/>
    <n v="-3.8821726264052501"/>
    <n v="0"/>
    <n v="236.47679670949958"/>
    <m/>
    <m/>
    <n v="4469.1623472813199"/>
    <n v="0"/>
    <n v="0"/>
    <n v="0"/>
    <n v="44.428530000001047"/>
    <n v="1038.5568599999997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2"/>
    <s v="Regular"/>
    <s v="Azul"/>
    <s v="A4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7.42"/>
    <n v="1326.5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Ponta"/>
    <s v="CATIVO"/>
    <x v="7"/>
    <n v="0"/>
    <n v="0"/>
    <n v="0.434"/>
    <n v="0.434"/>
    <n v="0.434"/>
    <n v="0.434"/>
    <m/>
    <n v="4750.8599999999997"/>
    <n v="207.07"/>
    <m/>
    <n v="2151.7416199999998"/>
    <n v="2151.7416199999998"/>
    <n v="2096.2069800000004"/>
    <n v="0"/>
    <n v="29.738296009332949"/>
    <n v="0"/>
    <n v="0"/>
    <n v="0"/>
    <n v="558.70447930907756"/>
    <n v="1462.2995399331278"/>
    <n v="89.870537079641636"/>
    <n v="0"/>
    <n v="0"/>
    <n v="0"/>
    <n v="0"/>
    <n v="0"/>
    <n v="4.3438754641291171"/>
    <m/>
    <n v="0.78525319286688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01529954036168"/>
    <n v="0"/>
    <n v="0"/>
    <n v="0"/>
    <n v="0"/>
    <n v="0"/>
    <m/>
    <m/>
    <m/>
    <m/>
    <m/>
    <m/>
    <m/>
    <m/>
    <m/>
    <n v="95.872067033677808"/>
    <m/>
    <m/>
    <m/>
    <m/>
    <m/>
    <m/>
    <m/>
    <m/>
    <m/>
    <m/>
    <m/>
    <m/>
    <n v="2076.8870999999999"/>
    <n v="-74.884520000000521"/>
    <m/>
    <m/>
    <m/>
    <m/>
    <n v="-69.952119999999738"/>
    <n v="14.417479999999999"/>
    <n v="30"/>
    <n v="132.78855762104126"/>
    <n v="0"/>
    <n v="0"/>
    <n v="0"/>
    <n v="0"/>
    <n v="0"/>
    <n v="0"/>
    <n v="0"/>
    <n v="120.16153845114013"/>
    <n v="0"/>
    <n v="0"/>
    <n v="13.643113414676861"/>
    <n v="0"/>
    <n v="0"/>
    <n v="0"/>
    <n v="0.91108339268005079"/>
    <n v="0"/>
    <n v="-1.6333417292644228"/>
    <m/>
    <n v="0"/>
    <n v="0"/>
    <n v="0"/>
    <n v="0"/>
    <n v="-0.23994271432446101"/>
    <n v="-5.3893193866867417E-2"/>
    <n v="0"/>
    <n v="36.896225009533623"/>
    <m/>
    <m/>
    <m/>
    <n v="1462.2995399331278"/>
    <n v="0"/>
    <n v="0"/>
    <n v="-69.952119999999695"/>
    <n v="14.417479999999998"/>
    <n v="0"/>
    <n v="0"/>
    <n v="-225.2196002810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Fora ponta"/>
    <s v="CATIVO"/>
    <x v="7"/>
    <n v="0"/>
    <n v="0"/>
    <n v="86.302000000000007"/>
    <n v="86.302000000000007"/>
    <n v="86.302000000000007"/>
    <n v="86.302000000000007"/>
    <m/>
    <n v="94.17"/>
    <n v="207.07"/>
    <m/>
    <n v="25997.61448"/>
    <n v="25997.61448"/>
    <n v="28805.018540000001"/>
    <n v="0"/>
    <n v="5913.5355350171712"/>
    <n v="0"/>
    <n v="0"/>
    <n v="0"/>
    <n v="0"/>
    <n v="0"/>
    <n v="17870.984080753991"/>
    <n v="0"/>
    <n v="0"/>
    <n v="0"/>
    <n v="0"/>
    <n v="0"/>
    <n v="863.79064586467996"/>
    <m/>
    <n v="156.14958767465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3.4194426111276"/>
    <n v="0"/>
    <n v="0"/>
    <n v="0"/>
    <n v="0"/>
    <n v="0"/>
    <m/>
    <m/>
    <m/>
    <m/>
    <m/>
    <m/>
    <m/>
    <m/>
    <m/>
    <n v="19064.403523365119"/>
    <m/>
    <m/>
    <m/>
    <m/>
    <m/>
    <m/>
    <m/>
    <m/>
    <m/>
    <m/>
    <m/>
    <m/>
    <n v="28804.350999999999"/>
    <n v="2806.7065199999997"/>
    <m/>
    <m/>
    <m/>
    <m/>
    <n v="-59.54837999999981"/>
    <n v="2866.95244"/>
    <n v="30"/>
    <n v="2510.9147659004848"/>
    <n v="0"/>
    <n v="0"/>
    <n v="0"/>
    <n v="0"/>
    <n v="0"/>
    <n v="0"/>
    <n v="0"/>
    <n v="0"/>
    <n v="0"/>
    <n v="0"/>
    <n v="2712.9676818282096"/>
    <n v="0"/>
    <n v="0"/>
    <n v="0"/>
    <n v="181.17124183196711"/>
    <n v="0"/>
    <n v="-324.79414267045649"/>
    <m/>
    <n v="0"/>
    <n v="0"/>
    <n v="0"/>
    <n v="0"/>
    <n v="-47.713216893155845"/>
    <n v="-10.716798196079253"/>
    <n v="0"/>
    <n v="296.12148704512981"/>
    <m/>
    <m/>
    <m/>
    <n v="0"/>
    <n v="0"/>
    <n v="0"/>
    <n v="-59.548380000000179"/>
    <n v="2866.9524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5"/>
    <s v="Regular"/>
    <s v="Verde"/>
    <s v="A4"/>
    <s v="Comercial"/>
    <s v="Não se aplica"/>
    <s v="Não se aplica"/>
    <s v="Não se aplica"/>
    <s v="Não se aplica"/>
    <s v="CATIVO"/>
    <x v="7"/>
    <n v="296"/>
    <n v="296"/>
    <n v="0"/>
    <n v="0"/>
    <n v="0"/>
    <n v="0"/>
    <n v="73.75"/>
    <m/>
    <m/>
    <n v="21830"/>
    <m/>
    <n v="21830"/>
    <n v="22025.360000000001"/>
    <n v="0"/>
    <n v="0"/>
    <n v="0"/>
    <n v="0"/>
    <n v="0"/>
    <n v="8601.2436319641201"/>
    <n v="13228.7205479527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025.360000000001"/>
    <n v="195.33000000000538"/>
    <m/>
    <m/>
    <m/>
    <m/>
    <n v="195.35999999999899"/>
    <n v="0"/>
    <n v="30"/>
    <n v="1849.8843408020839"/>
    <n v="0"/>
    <n v="0"/>
    <n v="0"/>
    <n v="0"/>
    <m/>
    <m/>
    <m/>
    <n v="1849.8843408020839"/>
    <n v="0"/>
    <n v="0"/>
    <m/>
    <m/>
    <n v="0"/>
    <n v="0"/>
    <n v="0"/>
    <n v="0"/>
    <n v="0"/>
    <m/>
    <n v="0"/>
    <n v="0"/>
    <m/>
    <n v="0"/>
    <n v="0"/>
    <n v="0"/>
    <n v="0"/>
    <n v="382.4510718406151"/>
    <m/>
    <m/>
    <n v="13228.720547952707"/>
    <m/>
    <n v="0"/>
    <n v="0"/>
    <n v="195.36000000000058"/>
    <m/>
    <n v="0"/>
    <m/>
    <n v="-2037.453389457661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36"/>
    <s v="Regular"/>
    <s v="Branca"/>
    <s v="B3"/>
    <s v="Comercial"/>
    <s v="Não se aplica"/>
    <s v="Não se aplica"/>
    <s v="Não se aplica"/>
    <s v="Ponta"/>
    <s v="CATIVO"/>
    <x v="7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0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7"/>
    <s v="Regular"/>
    <s v="Branca"/>
    <s v="B3"/>
    <s v="Comercial"/>
    <s v="Não se aplica"/>
    <s v="Não se aplica"/>
    <s v="Não se aplica"/>
    <s v="Fora ponta"/>
    <s v="CATIVO"/>
    <x v="7"/>
    <n v="0"/>
    <n v="0"/>
    <n v="0.182"/>
    <n v="0.182"/>
    <n v="0.182"/>
    <n v="0.182"/>
    <m/>
    <n v="595.67999999999995"/>
    <n v="207.07"/>
    <m/>
    <n v="146.10049999999998"/>
    <n v="146.10049999999998"/>
    <n v="148.97427999999999"/>
    <n v="0"/>
    <n v="14.334365892522385"/>
    <n v="0"/>
    <n v="0"/>
    <n v="0"/>
    <n v="22.153540676742384"/>
    <n v="63.69164404045079"/>
    <n v="37.6876445817852"/>
    <n v="0"/>
    <n v="0"/>
    <n v="0"/>
    <n v="0"/>
    <n v="0"/>
    <n v="1.821625194634791"/>
    <m/>
    <n v="0.50686097065504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059593568741766"/>
    <n v="0"/>
    <n v="0"/>
    <n v="0"/>
    <n v="0"/>
    <n v="0"/>
    <m/>
    <m/>
    <m/>
    <m/>
    <m/>
    <m/>
    <m/>
    <m/>
    <m/>
    <n v="43.593603938659378"/>
    <m/>
    <m/>
    <m/>
    <m/>
    <m/>
    <m/>
    <m/>
    <m/>
    <m/>
    <m/>
    <m/>
    <m/>
    <n v="147.3372"/>
    <n v="1.2067000000000121"/>
    <m/>
    <m/>
    <m/>
    <m/>
    <n v="-3.1722599999999908"/>
    <n v="6.0460399999999996"/>
    <n v="30"/>
    <n v="10.459774490895043"/>
    <n v="0"/>
    <n v="0"/>
    <n v="0"/>
    <n v="0"/>
    <n v="0"/>
    <n v="0"/>
    <n v="0"/>
    <n v="4.7646003002323205"/>
    <n v="0"/>
    <n v="0"/>
    <n v="5.7213056255096504"/>
    <n v="0"/>
    <n v="0"/>
    <n v="0"/>
    <n v="0.89657496156832295"/>
    <n v="0"/>
    <n v="-0.7872985717626122"/>
    <m/>
    <n v="0"/>
    <n v="0"/>
    <n v="0"/>
    <n v="0"/>
    <n v="-0.10062113826509655"/>
    <n v="-3.4786686387524024E-2"/>
    <n v="0"/>
    <n v="2.223586405316607"/>
    <m/>
    <m/>
    <m/>
    <n v="63.69164404045079"/>
    <n v="0"/>
    <n v="0"/>
    <n v="-3.1722599999999801"/>
    <n v="6.0460399999999979"/>
    <n v="0"/>
    <n v="0"/>
    <n v="-9.809622598039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8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9"/>
    <s v="Regular"/>
    <s v="Branca"/>
    <s v="B3"/>
    <s v="Comercial"/>
    <s v="Não se aplica"/>
    <s v="Não se aplica"/>
    <s v="Não se aplica"/>
    <s v="Intermediário"/>
    <s v="CATIVO"/>
    <x v="7"/>
    <n v="0"/>
    <n v="0"/>
    <n v="1.6E-2"/>
    <n v="1.6E-2"/>
    <n v="1.6E-2"/>
    <n v="1.6E-2"/>
    <m/>
    <n v="1539.04"/>
    <n v="207.07"/>
    <m/>
    <n v="27.937760000000001"/>
    <n v="27.937760000000001"/>
    <n v="27.567840000000004"/>
    <n v="0"/>
    <n v="1.2601640345074625"/>
    <n v="0"/>
    <n v="0"/>
    <n v="0"/>
    <n v="5.8427404458560481"/>
    <n v="16.797789736799842"/>
    <n v="3.3131995236734242"/>
    <n v="0"/>
    <n v="0"/>
    <n v="0"/>
    <n v="0"/>
    <n v="0"/>
    <n v="0.16014287425360801"/>
    <m/>
    <n v="4.45592062114328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1920521818674081"/>
    <n v="0"/>
    <n v="0"/>
    <n v="0"/>
    <n v="0"/>
    <n v="0"/>
    <m/>
    <m/>
    <m/>
    <m/>
    <m/>
    <m/>
    <m/>
    <m/>
    <m/>
    <n v="3.8324047418601648"/>
    <m/>
    <m/>
    <m/>
    <m/>
    <m/>
    <m/>
    <m/>
    <m/>
    <m/>
    <m/>
    <m/>
    <m/>
    <n v="34.459800000000001"/>
    <n v="6.4920399999999958"/>
    <m/>
    <m/>
    <m/>
    <m/>
    <n v="-0.90143999999999869"/>
    <n v="0.53151999999999999"/>
    <n v="30"/>
    <n v="1.7572829448129816"/>
    <n v="0"/>
    <n v="0"/>
    <n v="0"/>
    <n v="0"/>
    <n v="0"/>
    <n v="0"/>
    <n v="0"/>
    <n v="1.2566082906887841"/>
    <n v="0"/>
    <n v="0"/>
    <n v="0.502971923121728"/>
    <n v="0"/>
    <n v="0"/>
    <n v="0"/>
    <n v="7.8819776841171252E-2"/>
    <n v="0"/>
    <n v="-6.9213061253855956E-2"/>
    <m/>
    <n v="0"/>
    <n v="0"/>
    <n v="0"/>
    <n v="0"/>
    <n v="-8.8458143529755173E-3"/>
    <n v="-3.0581702318702442E-3"/>
    <n v="0"/>
    <n v="0.45991491532720352"/>
    <m/>
    <m/>
    <m/>
    <n v="16.797789736799842"/>
    <n v="0"/>
    <n v="0"/>
    <n v="-0.90143999999999735"/>
    <n v="0.53151999999999999"/>
    <n v="0"/>
    <n v="0"/>
    <n v="-2.58715221253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0"/>
    <s v="Regular"/>
    <s v="Convencional"/>
    <s v="B2"/>
    <s v="Rural"/>
    <s v="Não se aplica"/>
    <s v="Não se aplica"/>
    <s v="Não se aplica"/>
    <s v="Não se aplica"/>
    <s v="CATIVO"/>
    <x v="7"/>
    <n v="0"/>
    <n v="0"/>
    <n v="38.409999999999997"/>
    <n v="38.409999999999997"/>
    <n v="38.409999999999997"/>
    <n v="38.409999999999997"/>
    <m/>
    <n v="897.25"/>
    <n v="207.07"/>
    <m/>
    <n v="42416.931199999999"/>
    <n v="42416.931199999999"/>
    <n v="42545.604699999996"/>
    <n v="0"/>
    <n v="3025.1812853394767"/>
    <n v="0"/>
    <n v="0"/>
    <n v="0"/>
    <n v="7664.6065977135249"/>
    <n v="22035.636011812432"/>
    <n v="7953.7496065185132"/>
    <n v="0"/>
    <n v="0"/>
    <n v="0"/>
    <n v="0"/>
    <n v="0"/>
    <n v="384.44298750506766"/>
    <m/>
    <n v="106.96994441132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6.4170269095446"/>
    <n v="0"/>
    <n v="33.18"/>
    <n v="153.35"/>
    <n v="0"/>
    <n v="147"/>
    <m/>
    <m/>
    <m/>
    <m/>
    <m/>
    <n v="5105.4572000000007"/>
    <m/>
    <m/>
    <m/>
    <n v="9200.166633428058"/>
    <m/>
    <m/>
    <m/>
    <m/>
    <m/>
    <m/>
    <m/>
    <m/>
    <m/>
    <m/>
    <m/>
    <m/>
    <n v="37440.147499999992"/>
    <n v="112.89539999999397"/>
    <m/>
    <m/>
    <m/>
    <m/>
    <n v="-1147.3067000000001"/>
    <n v="1275.9801999999997"/>
    <n v="30"/>
    <n v="2850.3722858129768"/>
    <n v="0"/>
    <n v="0"/>
    <n v="0"/>
    <n v="0"/>
    <n v="0"/>
    <n v="0"/>
    <n v="0"/>
    <n v="1648.4401942560735"/>
    <n v="0"/>
    <n v="0"/>
    <n v="1207.4469729440971"/>
    <n v="0"/>
    <n v="0"/>
    <n v="0"/>
    <n v="189.21672677933657"/>
    <n v="0"/>
    <n v="-166.15460517253814"/>
    <m/>
    <n v="0"/>
    <n v="0"/>
    <n v="0"/>
    <n v="0"/>
    <n v="-21.235483081111795"/>
    <n v="-7.3415199128834985"/>
    <n v="0"/>
    <n v="672.20574730424062"/>
    <m/>
    <m/>
    <m/>
    <n v="22035.636011812432"/>
    <n v="0"/>
    <n v="0"/>
    <n v="-1147.306700000001"/>
    <n v="1275.9802000000009"/>
    <n v="0"/>
    <n v="0"/>
    <n v="-3393.87177455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52"/>
    <n v="0.52"/>
    <n v="0.52"/>
    <n v="0.52"/>
    <m/>
    <n v="897.25"/>
    <n v="207.07"/>
    <m/>
    <n v="574.24639999999999"/>
    <n v="574.24639999999999"/>
    <n v="575.98839999999996"/>
    <n v="0"/>
    <n v="40.955331121492534"/>
    <n v="0"/>
    <n v="0"/>
    <n v="0"/>
    <n v="103.76452566547862"/>
    <n v="298.32154975637769"/>
    <n v="107.67898451938629"/>
    <n v="0"/>
    <n v="0"/>
    <n v="0"/>
    <n v="0"/>
    <n v="0"/>
    <n v="5.2046434132422599"/>
    <m/>
    <n v="1.4481742018715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74169591069077"/>
    <n v="0"/>
    <n v="0"/>
    <n v="0"/>
    <n v="0"/>
    <n v="5"/>
    <m/>
    <m/>
    <m/>
    <m/>
    <m/>
    <n v="69.118400000000008"/>
    <m/>
    <m/>
    <m/>
    <n v="124.55315411045537"/>
    <m/>
    <m/>
    <m/>
    <m/>
    <m/>
    <m/>
    <m/>
    <m/>
    <m/>
    <m/>
    <m/>
    <m/>
    <n v="506.87"/>
    <n v="1.498800000000017"/>
    <m/>
    <m/>
    <m/>
    <m/>
    <n v="-15.532400000000003"/>
    <n v="17.2744"/>
    <n v="30"/>
    <n v="38.588742218764594"/>
    <n v="0"/>
    <n v="0"/>
    <n v="0"/>
    <n v="0"/>
    <n v="0"/>
    <n v="0"/>
    <n v="0"/>
    <n v="22.31681595972816"/>
    <n v="0"/>
    <n v="0"/>
    <n v="16.346587501456156"/>
    <n v="0"/>
    <n v="0"/>
    <n v="0"/>
    <n v="2.5616427473380661"/>
    <n v="0"/>
    <n v="-2.2494244907503216"/>
    <m/>
    <n v="0"/>
    <n v="0"/>
    <n v="0"/>
    <n v="0"/>
    <n v="-0.28748896647170419"/>
    <n v="-9.9390532535782894E-2"/>
    <n v="0"/>
    <n v="9.1004162613435344"/>
    <m/>
    <m/>
    <m/>
    <n v="298.32154975637769"/>
    <n v="0"/>
    <n v="0"/>
    <n v="-15.532399999999996"/>
    <n v="17.2744"/>
    <n v="0"/>
    <n v="0"/>
    <n v="-45.94671499001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0.233000000000001"/>
    <n v="20.233000000000001"/>
    <n v="20.233000000000001"/>
    <n v="20.233000000000001"/>
    <m/>
    <n v="897.25"/>
    <n v="207.07"/>
    <m/>
    <n v="22343.706560000002"/>
    <n v="22343.706560000002"/>
    <n v="22411.487110000002"/>
    <n v="0"/>
    <n v="1593.556181886843"/>
    <n v="0"/>
    <n v="0"/>
    <n v="0"/>
    <n v="4037.4377842108242"/>
    <n v="11607.576761963057"/>
    <n v="4189.7478726552745"/>
    <n v="0"/>
    <n v="0"/>
    <n v="0"/>
    <n v="0"/>
    <n v="0"/>
    <n v="202.51067342332817"/>
    <m/>
    <n v="56.34790120474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56744872327045"/>
    <n v="0"/>
    <n v="170.43"/>
    <n v="787.21"/>
    <n v="0"/>
    <n v="31"/>
    <m/>
    <m/>
    <m/>
    <m/>
    <m/>
    <m/>
    <m/>
    <m/>
    <m/>
    <n v="4846.3153213785445"/>
    <m/>
    <m/>
    <m/>
    <m/>
    <m/>
    <m/>
    <m/>
    <m/>
    <m/>
    <m/>
    <m/>
    <m/>
    <n v="22408.164099999998"/>
    <n v="64.42754000000059"/>
    <m/>
    <m/>
    <m/>
    <m/>
    <n v="-604.35971000000006"/>
    <n v="672.14026000000001"/>
    <n v="30"/>
    <n v="1501.4731179082009"/>
    <n v="0"/>
    <n v="0"/>
    <n v="0"/>
    <n v="0"/>
    <n v="0"/>
    <n v="0"/>
    <n v="0"/>
    <n v="868.33872560226882"/>
    <n v="0"/>
    <n v="0"/>
    <n v="636.03943253261968"/>
    <n v="0"/>
    <n v="0"/>
    <n v="0"/>
    <n v="99.672534051713569"/>
    <n v="0"/>
    <n v="-87.524241771829338"/>
    <m/>
    <n v="0"/>
    <n v="0"/>
    <n v="0"/>
    <n v="0"/>
    <n v="-11.186085112734588"/>
    <n v="-3.8672473938394134"/>
    <n v="0"/>
    <n v="354.09369656877641"/>
    <m/>
    <m/>
    <m/>
    <n v="11607.576761963057"/>
    <n v="0"/>
    <n v="0"/>
    <n v="-604.35971000000063"/>
    <n v="672.14026000000013"/>
    <n v="0"/>
    <n v="0"/>
    <n v="-1787.769008448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32.631"/>
    <n v="232.631"/>
    <n v="232.631"/>
    <n v="232.631"/>
    <m/>
    <n v="493.49"/>
    <n v="113.89"/>
    <m/>
    <n v="141295.41678"/>
    <n v="141295.41678"/>
    <n v="141723.45782000001"/>
    <n v="0"/>
    <n v="10077.141920707996"/>
    <n v="0"/>
    <n v="0"/>
    <n v="0"/>
    <n v="25531.471064514044"/>
    <n v="73402.619697609189"/>
    <n v="26494.631569713747"/>
    <n v="0"/>
    <n v="0"/>
    <n v="0"/>
    <n v="0"/>
    <n v="0"/>
    <n v="1280.6130212043797"/>
    <m/>
    <n v="356.32618656840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1.9235007249863"/>
    <n v="0"/>
    <n v="1178.93"/>
    <n v="5441.33"/>
    <n v="0"/>
    <n v="3"/>
    <m/>
    <m/>
    <m/>
    <m/>
    <m/>
    <m/>
    <m/>
    <m/>
    <m/>
    <n v="30646.555070438735"/>
    <m/>
    <m/>
    <m/>
    <m/>
    <m/>
    <m/>
    <m/>
    <m/>
    <m/>
    <m/>
    <m/>
    <m/>
    <n v="141722.8486"/>
    <n v="427.40181999999913"/>
    <m/>
    <m/>
    <m/>
    <m/>
    <n v="-3822.1273300000016"/>
    <n v="4250.1683699999994"/>
    <n v="30"/>
    <n v="9494.8379425024759"/>
    <n v="0"/>
    <n v="0"/>
    <n v="0"/>
    <n v="0"/>
    <n v="0"/>
    <n v="0"/>
    <n v="0"/>
    <n v="5491.0976296924782"/>
    <n v="0"/>
    <n v="0"/>
    <n v="4022.1108622656466"/>
    <n v="0"/>
    <n v="0"/>
    <n v="0"/>
    <n v="630.2973705303948"/>
    <n v="0"/>
    <n v="-553.47543805626083"/>
    <m/>
    <n v="0"/>
    <n v="0"/>
    <n v="0"/>
    <n v="0"/>
    <n v="-70.737240706928787"/>
    <n v="-24.455241222850987"/>
    <n v="0"/>
    <n v="2239.1757969441082"/>
    <m/>
    <m/>
    <m/>
    <n v="73402.619697609189"/>
    <n v="0"/>
    <n v="0"/>
    <n v="-3822.127330000003"/>
    <n v="4250.1683699999994"/>
    <n v="0"/>
    <n v="0"/>
    <n v="-11305.2820003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2.291"/>
    <n v="11.55354"/>
    <n v="12.291"/>
    <n v="11.55354"/>
    <m/>
    <n v="897.25"/>
    <n v="207.07"/>
    <m/>
    <n v="13573.197120000001"/>
    <n v="13573.197120000001"/>
    <n v="13614.37197"/>
    <n v="0"/>
    <n v="968.0422592582014"/>
    <n v="0"/>
    <n v="0"/>
    <n v="0"/>
    <n v="2452.6342018353798"/>
    <n v="7051.288784722381"/>
    <n v="2545.1584590918787"/>
    <n v="0"/>
    <n v="0"/>
    <n v="0"/>
    <n v="0"/>
    <n v="0"/>
    <n v="123.0197542156935"/>
    <m/>
    <n v="34.229825221545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84695854582696"/>
    <n v="0"/>
    <n v="10.07"/>
    <n v="46.48"/>
    <n v="0"/>
    <n v="2"/>
    <m/>
    <m/>
    <m/>
    <m/>
    <n v="816.86231820000057"/>
    <m/>
    <m/>
    <m/>
    <m/>
    <n v="2944.0054176377057"/>
    <m/>
    <m/>
    <m/>
    <m/>
    <m/>
    <m/>
    <m/>
    <m/>
    <m/>
    <m/>
    <m/>
    <m/>
    <n v="12793.588500000002"/>
    <n v="34.75320720000127"/>
    <m/>
    <m/>
    <m/>
    <m/>
    <n v="-367.13217000000009"/>
    <n v="408.30702000000002"/>
    <n v="30"/>
    <n v="912.10428963622144"/>
    <n v="0"/>
    <n v="0"/>
    <n v="0"/>
    <n v="0"/>
    <n v="0"/>
    <n v="0"/>
    <n v="0"/>
    <n v="527.49227877119029"/>
    <n v="0"/>
    <n v="0"/>
    <n v="386.37674419307223"/>
    <n v="0"/>
    <n v="0"/>
    <n v="0"/>
    <n v="60.548367322177228"/>
    <n v="0"/>
    <n v="-53.168608491946543"/>
    <m/>
    <n v="0"/>
    <n v="0"/>
    <n v="0"/>
    <n v="0"/>
    <n v="-6.7952440132763741"/>
    <n v="-2.3492481449948208"/>
    <n v="0"/>
    <n v="215.10233897725649"/>
    <m/>
    <m/>
    <m/>
    <n v="7051.288784722381"/>
    <n v="0"/>
    <n v="0"/>
    <n v="-367.13217000000077"/>
    <n v="408.30702000000019"/>
    <n v="0"/>
    <n v="0"/>
    <n v="-1086.0212960429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4690000000000001"/>
    <n v="1.38086"/>
    <n v="1.4690000000000001"/>
    <n v="1.38086"/>
    <m/>
    <n v="4750.8599999999997"/>
    <n v="207.07"/>
    <m/>
    <n v="7283.1991699999999"/>
    <n v="7283.1991699999999"/>
    <n v="7095.2259300000005"/>
    <n v="0"/>
    <n v="100.65796506384817"/>
    <n v="0"/>
    <n v="0"/>
    <n v="0"/>
    <n v="1891.098802085334"/>
    <n v="4949.5807008335596"/>
    <n v="304.19313126726627"/>
    <n v="0"/>
    <n v="0"/>
    <n v="0"/>
    <n v="0"/>
    <n v="0"/>
    <n v="14.703117642409385"/>
    <m/>
    <n v="2.6579192173305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13934337509519"/>
    <n v="0"/>
    <n v="0"/>
    <n v="0"/>
    <n v="0"/>
    <n v="0"/>
    <m/>
    <m/>
    <m/>
    <m/>
    <n v="425.71355580000056"/>
    <m/>
    <m/>
    <m/>
    <m/>
    <n v="324.50706560477579"/>
    <m/>
    <m/>
    <m/>
    <m/>
    <m/>
    <m/>
    <m/>
    <m/>
    <m/>
    <m/>
    <m/>
    <m/>
    <n v="6665.3585999999996"/>
    <n v="-180.87861980000071"/>
    <m/>
    <m/>
    <m/>
    <m/>
    <n v="-236.77341999999911"/>
    <n v="48.800180000000005"/>
    <n v="30"/>
    <n v="449.46173074956187"/>
    <n v="0"/>
    <n v="0"/>
    <n v="0"/>
    <n v="0"/>
    <n v="0"/>
    <n v="0"/>
    <n v="0"/>
    <n v="406.7218893657257"/>
    <n v="0"/>
    <n v="0"/>
    <n v="46.179109691613633"/>
    <n v="0"/>
    <n v="0"/>
    <n v="0"/>
    <n v="3.0838283498778658"/>
    <n v="0"/>
    <n v="-5.5285230421415577"/>
    <m/>
    <n v="0"/>
    <n v="0"/>
    <n v="0"/>
    <n v="0"/>
    <n v="-0.81215633028256384"/>
    <n v="-0.18241728523140122"/>
    <n v="0"/>
    <n v="124.88607036637073"/>
    <m/>
    <m/>
    <m/>
    <n v="4949.5807008335596"/>
    <n v="0"/>
    <n v="0"/>
    <n v="-236.77341999999862"/>
    <n v="48.800180000000012"/>
    <n v="0"/>
    <n v="0"/>
    <n v="-762.321642425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7.268000000000001"/>
    <n v="16.231919999999999"/>
    <n v="17.268000000000001"/>
    <n v="16.231919999999999"/>
    <m/>
    <n v="94.17"/>
    <n v="207.07"/>
    <m/>
    <n v="5201.81232"/>
    <n v="5201.81232"/>
    <n v="5763.5403600000009"/>
    <n v="0"/>
    <n v="1183.2278697906945"/>
    <n v="0"/>
    <n v="0"/>
    <n v="0"/>
    <n v="0"/>
    <n v="0"/>
    <n v="3575.7705859245434"/>
    <n v="0"/>
    <n v="0"/>
    <n v="0"/>
    <n v="0"/>
    <n v="0"/>
    <n v="172.83419703820644"/>
    <m/>
    <n v="31.243668512500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78898443847132"/>
    <n v="0"/>
    <n v="0"/>
    <n v="0"/>
    <n v="0"/>
    <n v="0"/>
    <m/>
    <m/>
    <m/>
    <m/>
    <n v="345.81242160000062"/>
    <m/>
    <m/>
    <m/>
    <m/>
    <n v="3814.5595703630147"/>
    <m/>
    <m/>
    <m/>
    <m/>
    <m/>
    <m/>
    <m/>
    <m/>
    <m/>
    <m/>
    <m/>
    <m/>
    <n v="5417.0871000000006"/>
    <n v="527.35351920000085"/>
    <m/>
    <m/>
    <m/>
    <m/>
    <n v="-11.914919999999961"/>
    <n v="573.64296000000002"/>
    <n v="30"/>
    <n v="502.40407148814029"/>
    <n v="0"/>
    <n v="0"/>
    <n v="0"/>
    <n v="0"/>
    <n v="0"/>
    <n v="0"/>
    <n v="0"/>
    <n v="0"/>
    <n v="0"/>
    <n v="0"/>
    <n v="542.83244802912486"/>
    <n v="0"/>
    <n v="0"/>
    <n v="0"/>
    <n v="36.250202822117757"/>
    <n v="0"/>
    <n v="-64.987430831654592"/>
    <m/>
    <n v="0"/>
    <n v="0"/>
    <n v="0"/>
    <n v="0"/>
    <n v="-9.5468451404488235"/>
    <n v="-2.1443033909978517"/>
    <n v="0"/>
    <n v="59.25037471084449"/>
    <m/>
    <m/>
    <m/>
    <n v="0"/>
    <n v="0"/>
    <n v="0"/>
    <n v="-11.914919999999938"/>
    <n v="573.64296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Não se aplica"/>
    <s v="CATIVO"/>
    <x v="7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6.86"/>
    <n v="585.51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0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7"/>
    <n v="0"/>
    <n v="0"/>
    <n v="0.5"/>
    <n v="0.5"/>
    <n v="0.5"/>
    <n v="0.5"/>
    <m/>
    <n v="897.25"/>
    <n v="207.07"/>
    <m/>
    <n v="552.16"/>
    <n v="552.16"/>
    <n v="553.83500000000004"/>
    <n v="0"/>
    <n v="39.380126078358202"/>
    <n v="0"/>
    <n v="0"/>
    <n v="0"/>
    <n v="99.773582370652505"/>
    <n v="286.84764399651698"/>
    <n v="103.53748511479451"/>
    <n v="0"/>
    <n v="0"/>
    <n v="0"/>
    <n v="0"/>
    <n v="0"/>
    <n v="5.00446482042525"/>
    <m/>
    <n v="1.392475194107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2516306833565"/>
    <n v="0"/>
    <n v="0"/>
    <n v="0"/>
    <n v="0"/>
    <n v="0"/>
    <m/>
    <m/>
    <m/>
    <m/>
    <m/>
    <n v="66.460000000000008"/>
    <m/>
    <m/>
    <m/>
    <n v="119.76264818313015"/>
    <m/>
    <m/>
    <m/>
    <m/>
    <m/>
    <m/>
    <m/>
    <m/>
    <m/>
    <m/>
    <m/>
    <m/>
    <n v="487.375"/>
    <n v="1.4399999999999977"/>
    <m/>
    <m/>
    <m/>
    <m/>
    <n v="-14.935000000000002"/>
    <n v="16.61"/>
    <n v="30"/>
    <n v="37.104559825735237"/>
    <n v="0"/>
    <n v="0"/>
    <n v="0"/>
    <n v="0"/>
    <n v="0"/>
    <n v="0"/>
    <n v="0"/>
    <n v="21.458476884353999"/>
    <n v="0"/>
    <n v="0"/>
    <n v="15.717872597553992"/>
    <n v="0"/>
    <n v="0"/>
    <n v="0"/>
    <n v="2.463118026286601"/>
    <n v="0"/>
    <n v="-2.1629081641830012"/>
    <m/>
    <n v="0"/>
    <n v="0"/>
    <n v="0"/>
    <n v="0"/>
    <n v="-0.27643169853048466"/>
    <n v="-9.5567819745945082E-2"/>
    <n v="0"/>
    <n v="8.7504002512918593"/>
    <m/>
    <m/>
    <m/>
    <n v="286.84764399651698"/>
    <n v="0"/>
    <n v="0"/>
    <n v="-14.935000000000002"/>
    <n v="16.61"/>
    <n v="0"/>
    <n v="0"/>
    <n v="-44.17953364424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2"/>
    <s v="Regular"/>
    <s v="Verde"/>
    <s v="A4"/>
    <s v="Rural"/>
    <s v="Agropecuária rural"/>
    <s v="Não se aplica"/>
    <s v="Não se aplica"/>
    <s v="Ponta"/>
    <s v="CATIVO"/>
    <x v="7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3"/>
    <s v="Regular"/>
    <s v="Verde"/>
    <s v="A4"/>
    <s v="Rural"/>
    <s v="Agropecuária rural"/>
    <s v="Não se aplica"/>
    <s v="Não se aplica"/>
    <s v="Fora ponta"/>
    <s v="CATIVO"/>
    <x v="7"/>
    <n v="0"/>
    <n v="0"/>
    <n v="10.742000000000001"/>
    <n v="10.31232"/>
    <n v="10.742000000000001"/>
    <n v="10.31232"/>
    <m/>
    <n v="94.17"/>
    <n v="207.07"/>
    <m/>
    <n v="3235.9200800000003"/>
    <n v="3235.9200800000003"/>
    <n v="3585.3573400000005"/>
    <n v="0"/>
    <n v="736.0570869406788"/>
    <n v="0"/>
    <n v="0"/>
    <n v="0"/>
    <n v="0"/>
    <n v="0"/>
    <n v="2224.3993302062454"/>
    <n v="0"/>
    <n v="0"/>
    <n v="0"/>
    <n v="0"/>
    <n v="0"/>
    <n v="107.51592220201609"/>
    <m/>
    <n v="19.4359211930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54478056741132"/>
    <n v="0"/>
    <n v="0"/>
    <n v="0"/>
    <n v="0"/>
    <n v="0"/>
    <m/>
    <m/>
    <m/>
    <m/>
    <m/>
    <n v="143.41429360000041"/>
    <m/>
    <m/>
    <m/>
    <n v="2372.9441107736566"/>
    <m/>
    <m/>
    <m/>
    <m/>
    <m/>
    <m/>
    <m/>
    <m/>
    <m/>
    <m/>
    <m/>
    <m/>
    <n v="3441.1687000000002"/>
    <n v="334.65542320000031"/>
    <m/>
    <m/>
    <m/>
    <m/>
    <n v="-7.4119799999999758"/>
    <n v="356.84924000000001"/>
    <n v="30"/>
    <n v="312.53327171216233"/>
    <n v="0"/>
    <n v="0"/>
    <n v="0"/>
    <n v="0"/>
    <n v="0"/>
    <n v="0"/>
    <n v="0"/>
    <n v="0"/>
    <n v="0"/>
    <n v="0"/>
    <n v="337.68277488584999"/>
    <n v="0"/>
    <n v="0"/>
    <n v="0"/>
    <n v="22.550363604076296"/>
    <n v="0"/>
    <n v="-40.427089529397449"/>
    <m/>
    <n v="0"/>
    <n v="0"/>
    <n v="0"/>
    <n v="0"/>
    <n v="-5.9388586112289374"/>
    <n v="-1.3339186371379945"/>
    <n v="0"/>
    <n v="36.858207386141508"/>
    <m/>
    <m/>
    <m/>
    <n v="0"/>
    <n v="0"/>
    <n v="0"/>
    <n v="-7.4119799999999714"/>
    <n v="356.8492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4"/>
    <s v="Regular"/>
    <s v="Verde"/>
    <s v="A4"/>
    <s v="Rural"/>
    <s v="Agropecuária rural"/>
    <s v="Não se aplica"/>
    <s v="Não se aplica"/>
    <s v="Não se aplica"/>
    <s v="CATIVO"/>
    <x v="7"/>
    <n v="273"/>
    <n v="262.08"/>
    <n v="0"/>
    <n v="0"/>
    <n v="0"/>
    <n v="0"/>
    <n v="73.75"/>
    <m/>
    <m/>
    <n v="20133.75"/>
    <m/>
    <n v="20133.75"/>
    <n v="20313.93"/>
    <n v="0"/>
    <n v="0"/>
    <n v="0"/>
    <n v="0"/>
    <n v="0"/>
    <n v="7932.9037551560978"/>
    <n v="12200.8132080780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12.5572000000011"/>
    <m/>
    <m/>
    <m/>
    <n v="0"/>
    <m/>
    <m/>
    <m/>
    <m/>
    <m/>
    <m/>
    <m/>
    <m/>
    <m/>
    <m/>
    <m/>
    <m/>
    <n v="19501.372799999997"/>
    <n v="172.94280000000435"/>
    <m/>
    <m/>
    <m/>
    <m/>
    <n v="180.17999999999907"/>
    <n v="0"/>
    <n v="30"/>
    <n v="1706.1433278343538"/>
    <n v="0"/>
    <n v="0"/>
    <n v="0"/>
    <n v="0"/>
    <m/>
    <m/>
    <m/>
    <n v="1706.1433278343538"/>
    <n v="0"/>
    <n v="0"/>
    <m/>
    <m/>
    <n v="0"/>
    <n v="0"/>
    <n v="0"/>
    <n v="0"/>
    <n v="0"/>
    <m/>
    <n v="0"/>
    <n v="0"/>
    <m/>
    <n v="0"/>
    <n v="0"/>
    <n v="0"/>
    <n v="0"/>
    <n v="352.73358990705384"/>
    <m/>
    <m/>
    <n v="12200.813208078003"/>
    <m/>
    <n v="0"/>
    <n v="0"/>
    <n v="180.18000000000029"/>
    <m/>
    <n v="0"/>
    <m/>
    <n v="-1879.13775446601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5"/>
    <s v="Regular"/>
    <s v="Verde"/>
    <s v="A4"/>
    <s v="Rural"/>
    <s v="Agropecuária rural"/>
    <s v="IRRIG./AQUIC. PR"/>
    <s v="Não se aplica"/>
    <s v="Fora ponta"/>
    <s v="CATIVO"/>
    <x v="7"/>
    <n v="0"/>
    <n v="0"/>
    <n v="10.101000000000001"/>
    <n v="3.0303"/>
    <n v="10.101000000000001"/>
    <n v="3.0303"/>
    <m/>
    <n v="94.17"/>
    <n v="207.07"/>
    <m/>
    <n v="3042.8252400000001"/>
    <n v="3042.8252400000001"/>
    <n v="3371.4107700000004"/>
    <n v="0"/>
    <n v="692.1348571204428"/>
    <n v="0"/>
    <n v="0"/>
    <n v="0"/>
    <n v="0"/>
    <n v="0"/>
    <n v="2091.664274289079"/>
    <n v="0"/>
    <n v="0"/>
    <n v="0"/>
    <n v="0"/>
    <n v="0"/>
    <n v="101.10019830223091"/>
    <m/>
    <n v="18.276134795272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6807697366805"/>
    <n v="0"/>
    <n v="0"/>
    <n v="0"/>
    <n v="0"/>
    <n v="0"/>
    <m/>
    <m/>
    <m/>
    <m/>
    <m/>
    <m/>
    <n v="2359.9875390000002"/>
    <m/>
    <m/>
    <n v="2231.3450440257593"/>
    <m/>
    <m/>
    <m/>
    <m/>
    <m/>
    <m/>
    <m/>
    <m/>
    <m/>
    <m/>
    <m/>
    <m/>
    <n v="1011.3230999999998"/>
    <n v="98.445527999999968"/>
    <m/>
    <m/>
    <m/>
    <m/>
    <n v="-6.9696899999999777"/>
    <n v="335.55522000000002"/>
    <n v="30"/>
    <n v="293.88368809947451"/>
    <n v="0"/>
    <n v="0"/>
    <n v="0"/>
    <n v="0"/>
    <n v="0"/>
    <n v="0"/>
    <n v="0"/>
    <n v="0"/>
    <n v="0"/>
    <n v="0"/>
    <n v="317.53246221578547"/>
    <n v="0"/>
    <n v="0"/>
    <n v="0"/>
    <n v="21.20473121995667"/>
    <n v="0"/>
    <n v="-38.014711537557559"/>
    <m/>
    <n v="0"/>
    <n v="0"/>
    <n v="0"/>
    <n v="0"/>
    <n v="-5.5844731737128512"/>
    <n v="-1.2543206249982219"/>
    <n v="0"/>
    <n v="34.658792851183705"/>
    <m/>
    <m/>
    <m/>
    <n v="0"/>
    <n v="0"/>
    <n v="0"/>
    <n v="-6.9696900000000142"/>
    <n v="335.555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63"/>
    <n v="62.9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.93600000000000005"/>
    <n v="0.93600000000000005"/>
    <n v="0.93600000000000005"/>
    <n v="0.93600000000000005"/>
    <m/>
    <n v="897.25"/>
    <n v="207.07"/>
    <m/>
    <n v="1033.6435200000001"/>
    <n v="1033.6435200000001"/>
    <n v="1036.7791200000001"/>
    <n v="0"/>
    <n v="73.719596018686559"/>
    <n v="0"/>
    <n v="0"/>
    <n v="0"/>
    <n v="186.77614619786149"/>
    <n v="536.97878956147986"/>
    <n v="193.82217213489534"/>
    <n v="0"/>
    <n v="0"/>
    <n v="0"/>
    <n v="0"/>
    <n v="0"/>
    <n v="9.368358143836069"/>
    <m/>
    <n v="2.6067135633688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7350526392434"/>
    <n v="0"/>
    <n v="0"/>
    <n v="0"/>
    <n v="0"/>
    <n v="0"/>
    <m/>
    <m/>
    <m/>
    <m/>
    <m/>
    <n v="124.41312000000002"/>
    <m/>
    <m/>
    <m/>
    <n v="224.19567739881967"/>
    <m/>
    <m/>
    <m/>
    <m/>
    <m/>
    <m/>
    <m/>
    <m/>
    <m/>
    <m/>
    <m/>
    <m/>
    <n v="916.26499999999987"/>
    <n v="6.6208399999998164"/>
    <m/>
    <m/>
    <m/>
    <m/>
    <n v="-27.958320000000008"/>
    <n v="31.093920000000001"/>
    <n v="30"/>
    <n v="69.459735993776292"/>
    <n v="0"/>
    <n v="0"/>
    <n v="0"/>
    <n v="0"/>
    <n v="0"/>
    <n v="0"/>
    <n v="0"/>
    <n v="40.170268727510688"/>
    <n v="0"/>
    <n v="0"/>
    <n v="29.423857502621075"/>
    <n v="0"/>
    <n v="0"/>
    <n v="0"/>
    <n v="4.6109569452085175"/>
    <n v="0"/>
    <n v="-4.0489640833505831"/>
    <m/>
    <n v="0"/>
    <n v="0"/>
    <n v="0"/>
    <n v="0"/>
    <n v="-0.51748013964906825"/>
    <n v="-0.17890295856440952"/>
    <n v="0"/>
    <n v="16.380749270418363"/>
    <m/>
    <m/>
    <m/>
    <n v="536.97878956147986"/>
    <n v="0"/>
    <n v="0"/>
    <n v="-27.958319999999958"/>
    <n v="31.093919999999997"/>
    <n v="0"/>
    <n v="0"/>
    <n v="-82.70408698203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8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2.1850000000000001"/>
    <n v="2.1850000000000001"/>
    <n v="2.1850000000000001"/>
    <n v="2.1850000000000001"/>
    <m/>
    <n v="897.25"/>
    <n v="207.07"/>
    <m/>
    <n v="2412.9391999999998"/>
    <n v="2412.9391999999998"/>
    <n v="2420.2589499999999"/>
    <n v="0"/>
    <n v="172.09115096242536"/>
    <n v="0"/>
    <n v="0"/>
    <n v="0"/>
    <n v="436.01055495975146"/>
    <n v="1253.5242042647792"/>
    <n v="452.45880995165203"/>
    <n v="0"/>
    <n v="0"/>
    <n v="0"/>
    <n v="0"/>
    <n v="0"/>
    <n v="21.869511265258343"/>
    <m/>
    <n v="6.085116598248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03962608626799"/>
    <n v="0"/>
    <n v="0"/>
    <n v="0"/>
    <n v="0"/>
    <n v="0"/>
    <m/>
    <m/>
    <m/>
    <m/>
    <m/>
    <n v="290.43020000000001"/>
    <m/>
    <m/>
    <m/>
    <n v="523.36277256027881"/>
    <m/>
    <m/>
    <m/>
    <m/>
    <m/>
    <m/>
    <m/>
    <m/>
    <m/>
    <m/>
    <m/>
    <m/>
    <n v="2134.7024999999999"/>
    <n v="11.267649999999321"/>
    <m/>
    <m/>
    <m/>
    <m/>
    <n v="-65.265950000000018"/>
    <n v="72.585700000000003"/>
    <n v="30"/>
    <n v="162.14692643846251"/>
    <n v="0"/>
    <n v="0"/>
    <n v="0"/>
    <n v="0"/>
    <n v="0"/>
    <n v="0"/>
    <n v="0"/>
    <n v="93.773543984626997"/>
    <n v="0"/>
    <n v="0"/>
    <n v="68.687103251310873"/>
    <n v="0"/>
    <n v="0"/>
    <n v="0"/>
    <n v="10.763825774872444"/>
    <n v="0"/>
    <n v="-9.4519086774797358"/>
    <m/>
    <n v="0"/>
    <n v="0"/>
    <n v="0"/>
    <n v="0"/>
    <n v="-1.2080065225782164"/>
    <n v="-0.41763137228977953"/>
    <n v="0"/>
    <n v="38.239249098145429"/>
    <m/>
    <m/>
    <m/>
    <n v="1253.5242042647792"/>
    <n v="0"/>
    <n v="0"/>
    <n v="-65.265949999999975"/>
    <n v="72.585699999999974"/>
    <n v="0"/>
    <n v="0"/>
    <n v="-193.0645620253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9"/>
    <s v="Regular"/>
    <s v="Convencional"/>
    <s v="B1"/>
    <s v="Residencial"/>
    <s v="Residencial"/>
    <s v="Não se aplica"/>
    <s v="Não se aplica"/>
    <s v="Não se aplica"/>
    <s v="CATIVO"/>
    <x v="8"/>
    <n v="0"/>
    <n v="0"/>
    <n v="809.14"/>
    <n v="809.14"/>
    <n v="809.14"/>
    <n v="809.14"/>
    <m/>
    <n v="897.25"/>
    <n v="207.07"/>
    <m/>
    <n v="893549.48479999998"/>
    <n v="893549.48479999998"/>
    <n v="896260.10380000004"/>
    <n v="0"/>
    <n v="63728.070430085514"/>
    <n v="0"/>
    <n v="0"/>
    <n v="0"/>
    <n v="161461.59287877954"/>
    <n v="464199.8053266835"/>
    <n v="167552.64141156964"/>
    <n v="0"/>
    <n v="0"/>
    <n v="0"/>
    <n v="0"/>
    <n v="0"/>
    <n v="8098.6253295977731"/>
    <m/>
    <n v="2253.41475711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56.856890226216"/>
    <n v="0"/>
    <n v="1568.2"/>
    <n v="7264.1"/>
    <n v="0"/>
    <n v="6289"/>
    <m/>
    <m/>
    <m/>
    <m/>
    <m/>
    <m/>
    <m/>
    <m/>
    <m/>
    <n v="193809.49830179586"/>
    <m/>
    <m/>
    <m/>
    <m/>
    <m/>
    <m/>
    <m/>
    <m/>
    <m/>
    <m/>
    <m/>
    <m/>
    <n v="896260.10380000004"/>
    <n v="2710.5890000000363"/>
    <m/>
    <m/>
    <m/>
    <m/>
    <n v="-24169.011800000004"/>
    <n v="26879.630799999999"/>
    <m/>
    <n v="60045.567074790655"/>
    <n v="0"/>
    <n v="0"/>
    <n v="0"/>
    <n v="0"/>
    <n v="0"/>
    <n v="0"/>
    <n v="0"/>
    <n v="34725.823972412385"/>
    <n v="0"/>
    <n v="0"/>
    <n v="25435.918867169676"/>
    <n v="0"/>
    <n v="0"/>
    <n v="0"/>
    <n v="3986.0146395790798"/>
    <n v="0"/>
    <n v="-3500.1910239340723"/>
    <m/>
    <n v="0"/>
    <n v="0"/>
    <n v="0"/>
    <n v="0"/>
    <n v="-447.34388909791232"/>
    <n v="-154.65549133846798"/>
    <n v="0"/>
    <n v="14160.597718660591"/>
    <m/>
    <m/>
    <m/>
    <n v="464199.8053266835"/>
    <n v="0"/>
    <n v="0"/>
    <n v="-24169.011799999978"/>
    <n v="26879.630800000014"/>
    <n v="0"/>
    <n v="0"/>
    <n v="-71494.8557058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58599999999999997"/>
    <n v="-0.58599999999999997"/>
    <n v="-0.58599999999999997"/>
    <n v="-0.58599999999999997"/>
    <m/>
    <n v="897.25"/>
    <n v="207.07"/>
    <m/>
    <n v="-647.13152000000002"/>
    <n v="-647.13152000000002"/>
    <n v="-649.09461999999996"/>
    <n v="0"/>
    <n v="-46.153507763835812"/>
    <n v="0"/>
    <n v="0"/>
    <n v="0"/>
    <n v="-116.93463853840473"/>
    <n v="-336.18543876391789"/>
    <n v="-121.34593255453916"/>
    <n v="0"/>
    <n v="0"/>
    <n v="0"/>
    <n v="0"/>
    <n v="0"/>
    <n v="-5.8652327695383928"/>
    <m/>
    <n v="-1.6319809274937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015891116089382"/>
    <n v="0"/>
    <n v="-2.68"/>
    <n v="-12.38"/>
    <n v="0"/>
    <n v="0"/>
    <m/>
    <m/>
    <m/>
    <m/>
    <m/>
    <m/>
    <m/>
    <m/>
    <m/>
    <n v="-140.36182367062855"/>
    <m/>
    <m/>
    <m/>
    <m/>
    <m/>
    <m/>
    <m/>
    <m/>
    <m/>
    <m/>
    <m/>
    <m/>
    <n v="-653.52530000000002"/>
    <n v="-6.4237799999999652"/>
    <m/>
    <m/>
    <m/>
    <m/>
    <n v="17.503820000000001"/>
    <n v="-19.466919999999998"/>
    <m/>
    <n v="-43.486544115761546"/>
    <n v="0"/>
    <n v="0"/>
    <n v="0"/>
    <n v="0"/>
    <n v="0"/>
    <n v="0"/>
    <n v="0"/>
    <n v="-25.14933490846289"/>
    <n v="0"/>
    <n v="0"/>
    <n v="-18.421346684333258"/>
    <n v="0"/>
    <n v="0"/>
    <n v="0"/>
    <n v="-2.8867743268078954"/>
    <n v="0"/>
    <n v="2.5349283684224773"/>
    <m/>
    <n v="0"/>
    <n v="0"/>
    <n v="0"/>
    <n v="0"/>
    <n v="0.32397795067772783"/>
    <n v="0.11200548474224759"/>
    <n v="0"/>
    <n v="-10.25546909451406"/>
    <m/>
    <m/>
    <m/>
    <n v="-336.18543876391789"/>
    <n v="0"/>
    <n v="0"/>
    <n v="17.503820000000019"/>
    <n v="-19.466919999999988"/>
    <n v="0"/>
    <n v="0"/>
    <n v="51.77841343106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6639999999999997"/>
    <n v="4.6639999999999997"/>
    <n v="4.6639999999999997"/>
    <n v="4.6639999999999997"/>
    <m/>
    <n v="897.25"/>
    <n v="207.07"/>
    <m/>
    <n v="5150.5484799999995"/>
    <n v="5150.5484799999995"/>
    <n v="5166.1728800000001"/>
    <n v="0"/>
    <n v="367.33781605892528"/>
    <n v="0"/>
    <n v="0"/>
    <n v="0"/>
    <n v="930.68797635344652"/>
    <n v="2675.7148231995102"/>
    <n v="965.79766115080315"/>
    <n v="0"/>
    <n v="0"/>
    <n v="0"/>
    <n v="0"/>
    <n v="0"/>
    <n v="46.681647844926729"/>
    <m/>
    <n v="12.989008610632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4832110143495"/>
    <n v="0"/>
    <n v="1.36"/>
    <n v="6.5"/>
    <n v="0"/>
    <n v="54"/>
    <m/>
    <m/>
    <m/>
    <m/>
    <m/>
    <m/>
    <m/>
    <m/>
    <m/>
    <n v="1117.1459822522381"/>
    <m/>
    <m/>
    <m/>
    <m/>
    <m/>
    <m/>
    <m/>
    <m/>
    <m/>
    <m/>
    <m/>
    <m/>
    <n v="5161.7422000000006"/>
    <n v="11.163720000000467"/>
    <m/>
    <m/>
    <m/>
    <m/>
    <n v="-139.31368000000001"/>
    <n v="154.93807999999999"/>
    <m/>
    <n v="346.11133405445753"/>
    <n v="0"/>
    <n v="0"/>
    <n v="0"/>
    <n v="0"/>
    <n v="0"/>
    <n v="0"/>
    <n v="0"/>
    <n v="200.16467237725408"/>
    <n v="0"/>
    <n v="0"/>
    <n v="146.61631558998351"/>
    <n v="0"/>
    <n v="0"/>
    <n v="0"/>
    <n v="22.975964949201398"/>
    <n v="0"/>
    <n v="-20.175607355499039"/>
    <m/>
    <n v="0"/>
    <n v="0"/>
    <n v="0"/>
    <n v="0"/>
    <n v="-2.5785548838923589"/>
    <n v="-0.89145662259017655"/>
    <n v="0"/>
    <n v="81.623733544050467"/>
    <m/>
    <m/>
    <m/>
    <n v="2675.7148231995102"/>
    <n v="0"/>
    <n v="0"/>
    <n v="-139.31367999999975"/>
    <n v="154.93808000000001"/>
    <n v="0"/>
    <n v="0"/>
    <n v="-412.1066898335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5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m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5.51"/>
    <n v="5.51"/>
    <n v="5.51"/>
    <n v="5.51"/>
    <m/>
    <n v="808.48"/>
    <n v="207.07"/>
    <m/>
    <n v="5595.6805000000004"/>
    <n v="5595.6805000000004"/>
    <n v="5632.4321999999993"/>
    <n v="0"/>
    <n v="0"/>
    <n v="0"/>
    <n v="0"/>
    <n v="0"/>
    <n v="1099.5048777245906"/>
    <n v="3161.0610368416169"/>
    <n v="1140.9830859650353"/>
    <n v="0"/>
    <n v="0"/>
    <n v="0"/>
    <n v="0"/>
    <n v="0"/>
    <n v="0"/>
    <m/>
    <n v="15.345076639062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80129701305887"/>
    <n v="0"/>
    <n v="8.8000000000000007"/>
    <n v="40.81"/>
    <n v="0"/>
    <n v="20"/>
    <m/>
    <m/>
    <m/>
    <m/>
    <m/>
    <m/>
    <m/>
    <n v="2252.9287999999992"/>
    <m/>
    <n v="1319.7843829780943"/>
    <m/>
    <m/>
    <m/>
    <m/>
    <m/>
    <m/>
    <m/>
    <m/>
    <m/>
    <m/>
    <m/>
    <m/>
    <n v="3379.5034000000001"/>
    <n v="22.065099999999802"/>
    <m/>
    <m/>
    <m/>
    <m/>
    <n v="-146.29050000000038"/>
    <n v="183.04219999999998"/>
    <m/>
    <n v="435.77377456670411"/>
    <n v="0"/>
    <n v="0"/>
    <n v="0"/>
    <n v="0"/>
    <n v="0"/>
    <n v="0"/>
    <n v="0"/>
    <n v="236.47241526558105"/>
    <n v="0"/>
    <n v="0"/>
    <n v="173.21095602504511"/>
    <n v="0"/>
    <n v="0"/>
    <n v="0"/>
    <n v="27.143560649678335"/>
    <n v="0"/>
    <n v="0"/>
    <m/>
    <n v="0"/>
    <n v="0"/>
    <n v="0"/>
    <n v="0"/>
    <n v="0"/>
    <n v="-1.0531573736003157"/>
    <n v="0"/>
    <n v="87.860281881418373"/>
    <m/>
    <m/>
    <m/>
    <n v="3161.0610368416169"/>
    <n v="0"/>
    <n v="0"/>
    <n v="-146.29050000000007"/>
    <n v="183.04219999999987"/>
    <n v="0"/>
    <n v="0"/>
    <n v="-486.858460759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766"/>
    <n v="3.766"/>
    <n v="3.766"/>
    <n v="3.766"/>
    <m/>
    <n v="808.48"/>
    <n v="207.07"/>
    <m/>
    <n v="3824.5613000000003"/>
    <n v="3824.5613000000003"/>
    <n v="3849.6805199999999"/>
    <n v="0"/>
    <n v="0"/>
    <n v="0"/>
    <n v="0"/>
    <n v="0"/>
    <n v="751.49462241575463"/>
    <n v="2160.5364545817661"/>
    <n v="779.84433788463218"/>
    <n v="0"/>
    <n v="0"/>
    <n v="0"/>
    <n v="0"/>
    <n v="0"/>
    <n v="0"/>
    <m/>
    <n v="10.488123162015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20792823070411"/>
    <n v="0"/>
    <n v="8.23"/>
    <n v="38.340000000000003"/>
    <n v="0"/>
    <n v="59"/>
    <m/>
    <m/>
    <m/>
    <m/>
    <m/>
    <m/>
    <m/>
    <n v="384.9605199999998"/>
    <m/>
    <n v="902.05226611533635"/>
    <m/>
    <m/>
    <m/>
    <m/>
    <m/>
    <m/>
    <m/>
    <m/>
    <m/>
    <m/>
    <m/>
    <m/>
    <n v="3468.4"/>
    <n v="26.24599999999964"/>
    <m/>
    <m/>
    <m/>
    <m/>
    <n v="-99.987300000000261"/>
    <n v="125.10652"/>
    <m/>
    <n v="297.84465245339493"/>
    <n v="0"/>
    <n v="0"/>
    <n v="0"/>
    <n v="0"/>
    <n v="0"/>
    <n v="0"/>
    <n v="0"/>
    <n v="161.62524789295435"/>
    <n v="0"/>
    <n v="0"/>
    <n v="118.38701640477666"/>
    <n v="0"/>
    <n v="0"/>
    <n v="0"/>
    <n v="18.552204973990683"/>
    <n v="0"/>
    <n v="0"/>
    <m/>
    <n v="0"/>
    <n v="0"/>
    <n v="0"/>
    <n v="0"/>
    <n v="0"/>
    <n v="-0.71981681832645705"/>
    <n v="0"/>
    <n v="60.051147289550201"/>
    <m/>
    <m/>
    <m/>
    <n v="2160.5364545817661"/>
    <n v="0"/>
    <n v="0"/>
    <n v="-99.987300000000232"/>
    <n v="125.10652000000005"/>
    <n v="0"/>
    <n v="0"/>
    <n v="-332.76024740848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6599999999999999"/>
    <n v="0.36599999999999999"/>
    <n v="0.36599999999999999"/>
    <n v="0.36599999999999999"/>
    <m/>
    <n v="808.48"/>
    <n v="207.07"/>
    <m/>
    <n v="371.69130000000001"/>
    <n v="371.69130000000001"/>
    <n v="374.13252"/>
    <n v="0"/>
    <n v="0"/>
    <n v="0"/>
    <n v="0"/>
    <n v="0"/>
    <n v="73.034262295317632"/>
    <n v="209.97247540545041"/>
    <n v="75.789439104029583"/>
    <n v="0"/>
    <n v="0"/>
    <n v="0"/>
    <n v="0"/>
    <n v="0"/>
    <n v="0"/>
    <m/>
    <n v="1.0192918420865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76819366021696"/>
    <n v="0"/>
    <n v="0.95"/>
    <n v="4.3899999999999997"/>
    <n v="0"/>
    <n v="7"/>
    <m/>
    <m/>
    <m/>
    <m/>
    <m/>
    <m/>
    <m/>
    <m/>
    <m/>
    <n v="87.666258470051275"/>
    <m/>
    <m/>
    <m/>
    <m/>
    <m/>
    <m/>
    <m/>
    <m/>
    <m/>
    <m/>
    <m/>
    <m/>
    <n v="378.22140000000002"/>
    <n v="6.5001000000000317"/>
    <m/>
    <m/>
    <m/>
    <m/>
    <n v="-9.7173000000000247"/>
    <n v="12.158519999999999"/>
    <m/>
    <n v="28.946134571944413"/>
    <n v="0"/>
    <n v="0"/>
    <n v="0"/>
    <n v="0"/>
    <n v="0"/>
    <n v="0"/>
    <n v="0"/>
    <n v="15.707605079347132"/>
    <n v="0"/>
    <n v="0"/>
    <n v="11.505482741409523"/>
    <n v="0"/>
    <n v="0"/>
    <n v="0"/>
    <n v="1.8030023952417924"/>
    <n v="0"/>
    <n v="0"/>
    <m/>
    <n v="0"/>
    <n v="0"/>
    <n v="0"/>
    <n v="0"/>
    <n v="0"/>
    <n v="-6.9955644054031874E-2"/>
    <n v="0"/>
    <n v="5.8360913191649955"/>
    <m/>
    <m/>
    <m/>
    <n v="209.97247540545041"/>
    <n v="0"/>
    <n v="0"/>
    <n v="-9.7173000000000229"/>
    <n v="12.15852000000001"/>
    <n v="0"/>
    <n v="0"/>
    <n v="-32.33941862759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6"/>
    <s v="Regular"/>
    <s v="Branca"/>
    <s v="B1"/>
    <s v="Residencial"/>
    <s v="Residencial"/>
    <s v="Não se aplica"/>
    <s v="Não se aplica"/>
    <s v="Fora ponta"/>
    <s v="CATIVO"/>
    <x v="8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m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7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68"/>
    <s v="Regular"/>
    <s v="Convencional"/>
    <s v="B3"/>
    <s v="Industrial"/>
    <s v="Não se aplica"/>
    <s v="Não se aplica"/>
    <s v="Não se aplica"/>
    <s v="Não se aplica"/>
    <s v="CATIVO"/>
    <x v="8"/>
    <n v="0"/>
    <n v="0"/>
    <n v="7.0010000000000003"/>
    <n v="7.0010000000000003"/>
    <n v="7.0010000000000003"/>
    <n v="7.0010000000000003"/>
    <m/>
    <n v="897.25"/>
    <n v="207.07"/>
    <m/>
    <n v="7731.3443200000002"/>
    <n v="7731.3443200000002"/>
    <n v="7754.7976699999999"/>
    <n v="0"/>
    <n v="551.40052534917163"/>
    <n v="0"/>
    <n v="0"/>
    <n v="0"/>
    <n v="1397.0297003538765"/>
    <n v="4016.440711239231"/>
    <n v="1449.7318665773528"/>
    <n v="0"/>
    <n v="0"/>
    <n v="0"/>
    <n v="0"/>
    <n v="0"/>
    <n v="70.07251641559435"/>
    <m/>
    <n v="19.497437667890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18473328283579"/>
    <n v="0"/>
    <n v="3.8"/>
    <n v="17.54"/>
    <n v="0"/>
    <n v="10"/>
    <m/>
    <m/>
    <m/>
    <m/>
    <m/>
    <m/>
    <m/>
    <m/>
    <m/>
    <n v="1676.9165998601886"/>
    <m/>
    <m/>
    <m/>
    <m/>
    <m/>
    <m/>
    <m/>
    <m/>
    <m/>
    <m/>
    <m/>
    <m/>
    <n v="7753.69"/>
    <n v="22.315679999998792"/>
    <m/>
    <m/>
    <m/>
    <m/>
    <n v="-209.11987000000005"/>
    <n v="232.57321999999999"/>
    <m/>
    <n v="519.53804667994291"/>
    <n v="0"/>
    <n v="0"/>
    <n v="0"/>
    <n v="0"/>
    <n v="0"/>
    <n v="0"/>
    <n v="0"/>
    <n v="300.46159333472474"/>
    <n v="0"/>
    <n v="0"/>
    <n v="220.08165211095093"/>
    <n v="0"/>
    <n v="0"/>
    <n v="0"/>
    <n v="34.488578604064969"/>
    <n v="0"/>
    <n v="-30.285040114890421"/>
    <m/>
    <n v="0"/>
    <n v="0"/>
    <n v="0"/>
    <n v="0"/>
    <n v="-3.8705966428238412"/>
    <n v="-1.3381406120827215"/>
    <n v="0"/>
    <n v="122.52310431858862"/>
    <m/>
    <m/>
    <m/>
    <n v="4016.440711239231"/>
    <n v="0"/>
    <n v="0"/>
    <n v="-209.11986999999954"/>
    <n v="232.57321999999999"/>
    <n v="0"/>
    <n v="0"/>
    <n v="-618.6018300867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m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0"/>
    <s v="Regular"/>
    <s v="Verde"/>
    <s v="A4"/>
    <s v="Industrial"/>
    <s v="Não se aplica"/>
    <s v="Não se aplica"/>
    <s v="Não se aplica"/>
    <s v="Ponta"/>
    <s v="CATIVO"/>
    <x v="8"/>
    <n v="0"/>
    <n v="0"/>
    <n v="1.27"/>
    <n v="1.27"/>
    <n v="1.27"/>
    <n v="1.27"/>
    <m/>
    <n v="4750.8599999999997"/>
    <n v="207.07"/>
    <m/>
    <n v="6296.5711000000001"/>
    <n v="6296.5711000000001"/>
    <n v="6134.0619000000006"/>
    <n v="0"/>
    <n v="87.022202607955876"/>
    <n v="0"/>
    <n v="0"/>
    <n v="0"/>
    <n v="1634.9186376095126"/>
    <n v="4279.0792988826552"/>
    <n v="262.98521219157806"/>
    <n v="0"/>
    <n v="0"/>
    <n v="0"/>
    <n v="0"/>
    <n v="0"/>
    <n v="12.711340643880135"/>
    <m/>
    <n v="2.297860725670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62080741073579"/>
    <n v="0"/>
    <n v="0"/>
    <n v="0"/>
    <n v="0"/>
    <n v="0"/>
    <m/>
    <m/>
    <m/>
    <m/>
    <m/>
    <m/>
    <m/>
    <m/>
    <m/>
    <n v="280.54729293265166"/>
    <m/>
    <m/>
    <m/>
    <m/>
    <m/>
    <m/>
    <m/>
    <m/>
    <m/>
    <m/>
    <m/>
    <m/>
    <n v="6134.0619000000006"/>
    <n v="-162.53920000000016"/>
    <m/>
    <m/>
    <m/>
    <m/>
    <n v="-204.69859999999923"/>
    <n v="42.189399999999999"/>
    <m/>
    <n v="388.57481147171029"/>
    <n v="0"/>
    <n v="0"/>
    <n v="0"/>
    <n v="0"/>
    <n v="0"/>
    <n v="0"/>
    <n v="0"/>
    <n v="351.62477841693089"/>
    <n v="0"/>
    <n v="0"/>
    <n v="39.923396397787144"/>
    <n v="0"/>
    <n v="0"/>
    <n v="0"/>
    <n v="2.6660735223586727"/>
    <n v="0"/>
    <n v="-4.7795944612115733"/>
    <m/>
    <n v="0"/>
    <n v="0"/>
    <n v="0"/>
    <n v="0"/>
    <n v="-0.70213651426743162"/>
    <n v="-0.15770588988691614"/>
    <n v="0"/>
    <n v="107.96821604172281"/>
    <m/>
    <m/>
    <m/>
    <n v="4279.0792988826552"/>
    <n v="0"/>
    <n v="0"/>
    <n v="-204.69859999999971"/>
    <n v="42.189399999999978"/>
    <n v="0"/>
    <n v="0"/>
    <n v="-659.052747366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Fora ponta"/>
    <s v="CATIVO"/>
    <x v="8"/>
    <n v="0"/>
    <n v="0"/>
    <n v="122.976"/>
    <n v="122.976"/>
    <n v="122.976"/>
    <n v="122.976"/>
    <m/>
    <n v="94.17"/>
    <n v="207.07"/>
    <m/>
    <n v="37045.290240000002"/>
    <n v="37045.290240000002"/>
    <n v="41045.699519999995"/>
    <n v="0"/>
    <n v="8426.4900692251813"/>
    <n v="0"/>
    <n v="0"/>
    <n v="0"/>
    <n v="0"/>
    <n v="0"/>
    <n v="25465.251538953937"/>
    <n v="0"/>
    <n v="0"/>
    <n v="0"/>
    <n v="0"/>
    <n v="0"/>
    <n v="1230.858131513231"/>
    <m/>
    <n v="222.5052918110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0.562552137216"/>
    <n v="0"/>
    <n v="0"/>
    <n v="0"/>
    <n v="0"/>
    <n v="0"/>
    <m/>
    <m/>
    <m/>
    <m/>
    <m/>
    <m/>
    <m/>
    <m/>
    <m/>
    <n v="27165.814091091153"/>
    <m/>
    <m/>
    <m/>
    <m/>
    <m/>
    <m/>
    <m/>
    <m/>
    <m/>
    <m/>
    <m/>
    <m/>
    <n v="41047.034599999999"/>
    <n v="4001.7143599999981"/>
    <m/>
    <m/>
    <m/>
    <m/>
    <n v="-84.853439999999722"/>
    <n v="4085.2627199999997"/>
    <m/>
    <n v="3577.9269802713534"/>
    <n v="0"/>
    <n v="0"/>
    <n v="0"/>
    <n v="0"/>
    <n v="0"/>
    <n v="0"/>
    <n v="0"/>
    <n v="0"/>
    <n v="0"/>
    <n v="0"/>
    <n v="3865.8422011136026"/>
    <n v="0"/>
    <n v="0"/>
    <n v="0"/>
    <n v="258.15988778392148"/>
    <n v="0"/>
    <n v="-462.81528225350667"/>
    <m/>
    <n v="0"/>
    <n v="0"/>
    <n v="0"/>
    <n v="0"/>
    <n v="-67.988929116969757"/>
    <n v="-15.270897255695587"/>
    <n v="0"/>
    <n v="421.95819321524272"/>
    <m/>
    <m/>
    <m/>
    <n v="0"/>
    <n v="0"/>
    <n v="0"/>
    <n v="-84.853439999998955"/>
    <n v="4085.26271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2"/>
    <s v="Regular"/>
    <s v="Verde"/>
    <s v="A4"/>
    <s v="Industrial"/>
    <s v="Não se aplica"/>
    <s v="Não se aplica"/>
    <s v="Não se aplica"/>
    <s v="Não se aplica"/>
    <s v="CATIVO"/>
    <x v="8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m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73"/>
    <s v="Regular"/>
    <s v="Convencional"/>
    <s v="B3"/>
    <s v="Comercial"/>
    <s v="Não se aplica"/>
    <s v="Não se aplica"/>
    <s v="Não se aplica"/>
    <s v="Não se aplica"/>
    <s v="CATIVO"/>
    <x v="8"/>
    <n v="0"/>
    <n v="0"/>
    <n v="108.366"/>
    <n v="108.366"/>
    <n v="108.366"/>
    <n v="108.366"/>
    <m/>
    <n v="897.25"/>
    <n v="207.07"/>
    <m/>
    <n v="119670.74112000001"/>
    <n v="119670.74112000001"/>
    <n v="120033.76722000001"/>
    <n v="0"/>
    <n v="8534.9334852147294"/>
    <n v="0"/>
    <n v="0"/>
    <n v="0"/>
    <n v="21624.128054356257"/>
    <n v="62169.06357865312"/>
    <n v="22439.886223899644"/>
    <n v="0"/>
    <n v="0"/>
    <n v="0"/>
    <n v="0"/>
    <n v="0"/>
    <n v="1084.6276694604053"/>
    <m/>
    <n v="301.79393376925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6.5120421265219"/>
    <n v="0"/>
    <n v="194.73"/>
    <n v="900.03"/>
    <n v="0"/>
    <n v="237"/>
    <m/>
    <m/>
    <m/>
    <m/>
    <m/>
    <m/>
    <m/>
    <m/>
    <m/>
    <n v="25956.398266026168"/>
    <m/>
    <m/>
    <m/>
    <m/>
    <m/>
    <m/>
    <m/>
    <m/>
    <m/>
    <m/>
    <m/>
    <m/>
    <n v="120038.1979"/>
    <n v="367.42678000000888"/>
    <m/>
    <m/>
    <m/>
    <m/>
    <n v="-3236.8924200000006"/>
    <n v="3599.9185199999997"/>
    <m/>
    <n v="8041.7454601512363"/>
    <n v="0"/>
    <n v="0"/>
    <n v="0"/>
    <n v="0"/>
    <n v="0"/>
    <n v="0"/>
    <n v="0"/>
    <n v="4650.7386120998126"/>
    <n v="0"/>
    <n v="0"/>
    <n v="3406.565963813071"/>
    <n v="0"/>
    <n v="0"/>
    <n v="0"/>
    <n v="533.83649607314783"/>
    <n v="0"/>
    <n v="-468.77141223971012"/>
    <m/>
    <n v="0"/>
    <n v="0"/>
    <n v="0"/>
    <n v="0"/>
    <n v="-59.911594885908926"/>
    <n v="-20.712604709178152"/>
    <n v="0"/>
    <n v="1896.4917472629875"/>
    <m/>
    <m/>
    <m/>
    <n v="62169.06357865312"/>
    <n v="0"/>
    <n v="0"/>
    <n v="-3236.8924200000038"/>
    <n v="3599.9185199999993"/>
    <n v="0"/>
    <n v="0"/>
    <n v="-9575.118685785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165"/>
    <n v="1.165"/>
    <n v="1.165"/>
    <n v="1.165"/>
    <m/>
    <n v="897.25"/>
    <n v="207.07"/>
    <m/>
    <n v="1286.5328000000002"/>
    <n v="1286.5328000000002"/>
    <n v="1290.4355500000001"/>
    <n v="0"/>
    <n v="91.755693762574609"/>
    <n v="0"/>
    <n v="0"/>
    <n v="0"/>
    <n v="232.47244692362034"/>
    <n v="668.35501051188453"/>
    <n v="241.24234031747122"/>
    <n v="0"/>
    <n v="0"/>
    <n v="0"/>
    <n v="0"/>
    <n v="0"/>
    <n v="11.660403031590834"/>
    <m/>
    <n v="3.244467202269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04629949222068"/>
    <n v="0"/>
    <n v="3.24"/>
    <n v="15"/>
    <n v="0"/>
    <n v="7"/>
    <m/>
    <m/>
    <m/>
    <m/>
    <m/>
    <m/>
    <m/>
    <m/>
    <m/>
    <n v="279.04697026669328"/>
    <m/>
    <m/>
    <m/>
    <m/>
    <m/>
    <m/>
    <m/>
    <m/>
    <m/>
    <m/>
    <m/>
    <m/>
    <n v="1295.9739"/>
    <n v="9.4110999999998057"/>
    <m/>
    <m/>
    <m/>
    <m/>
    <n v="-34.798550000000006"/>
    <n v="38.701300000000003"/>
    <m/>
    <n v="86.453624393962968"/>
    <n v="0"/>
    <n v="0"/>
    <n v="0"/>
    <n v="0"/>
    <n v="0"/>
    <n v="0"/>
    <n v="0"/>
    <n v="49.998251140544824"/>
    <n v="0"/>
    <n v="0"/>
    <n v="36.62264315230081"/>
    <n v="0"/>
    <n v="0"/>
    <n v="0"/>
    <n v="5.7390650012477806"/>
    <n v="0"/>
    <n v="-5.0395760225463846"/>
    <m/>
    <n v="0"/>
    <n v="0"/>
    <n v="0"/>
    <n v="0"/>
    <n v="-0.64408585757603021"/>
    <n v="-0.222673020008052"/>
    <n v="0"/>
    <n v="20.388432585510035"/>
    <m/>
    <m/>
    <m/>
    <n v="668.35501051188453"/>
    <n v="0"/>
    <n v="0"/>
    <n v="-34.798550000000091"/>
    <n v="38.701300000000032"/>
    <n v="0"/>
    <n v="0"/>
    <n v="-102.938313391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5"/>
    <s v="Regular"/>
    <s v="Azul"/>
    <s v="A4"/>
    <s v="Comercial"/>
    <s v="Não se aplica"/>
    <s v="Não se aplica"/>
    <s v="Não se aplica"/>
    <s v="Ponta"/>
    <s v="CATIVO"/>
    <x v="8"/>
    <n v="100"/>
    <n v="100"/>
    <n v="3.9790000000000001"/>
    <n v="3.9790000000000001"/>
    <n v="3.9790000000000001"/>
    <n v="3.9790000000000001"/>
    <n v="193.63"/>
    <n v="94.17"/>
    <n v="207.07"/>
    <n v="19363"/>
    <n v="1198.6339599999999"/>
    <n v="20561.633960000003"/>
    <n v="20023.070830000001"/>
    <n v="0"/>
    <n v="272.64672769846959"/>
    <n v="0"/>
    <n v="0"/>
    <n v="0"/>
    <n v="5352.7545792855199"/>
    <n v="14009.762805225198"/>
    <n v="823.95130654353466"/>
    <n v="0"/>
    <n v="0"/>
    <n v="0"/>
    <n v="0"/>
    <n v="0"/>
    <n v="39.825531040944142"/>
    <m/>
    <n v="7.19936049404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23243518686435"/>
    <n v="0"/>
    <n v="0"/>
    <n v="0"/>
    <n v="0"/>
    <n v="0"/>
    <m/>
    <m/>
    <m/>
    <m/>
    <m/>
    <m/>
    <m/>
    <m/>
    <m/>
    <n v="878.97455006222106"/>
    <m/>
    <m/>
    <m/>
    <m/>
    <m/>
    <m/>
    <m/>
    <m/>
    <m/>
    <m/>
    <m/>
    <m/>
    <n v="20023.404600000002"/>
    <n v="-538.25935999999638"/>
    <m/>
    <m/>
    <m/>
    <m/>
    <n v="-670.74551000000065"/>
    <n v="132.18237999999999"/>
    <m/>
    <n v="1266.9932551713046"/>
    <n v="0"/>
    <n v="0"/>
    <n v="0"/>
    <n v="0"/>
    <n v="0"/>
    <n v="0"/>
    <n v="0"/>
    <n v="1151.2261831043998"/>
    <n v="0"/>
    <n v="0"/>
    <n v="125.08283013133473"/>
    <n v="0"/>
    <n v="0"/>
    <n v="0"/>
    <n v="8.3529972798938275"/>
    <n v="0"/>
    <n v="-14.974808158394353"/>
    <m/>
    <n v="0"/>
    <n v="0"/>
    <n v="0"/>
    <n v="0"/>
    <n v="-2.1998434569055973"/>
    <n v="-0.49410372902365385"/>
    <n v="0"/>
    <n v="352.87536304322612"/>
    <m/>
    <m/>
    <n v="14009.762805225198"/>
    <n v="0"/>
    <n v="0"/>
    <n v="0"/>
    <n v="-670.74551000000065"/>
    <n v="132.1823800000000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6"/>
    <s v="Regular"/>
    <s v="Azul"/>
    <s v="A4"/>
    <s v="Comercial"/>
    <s v="Não se aplica"/>
    <s v="Não se aplica"/>
    <s v="Não se aplica"/>
    <s v="Fora ponta"/>
    <s v="CATIVO"/>
    <x v="8"/>
    <n v="100"/>
    <n v="100"/>
    <n v="36.128999999999998"/>
    <n v="36.128999999999998"/>
    <n v="36.128999999999998"/>
    <n v="36.128999999999998"/>
    <n v="73.75"/>
    <n v="94.17"/>
    <n v="207.07"/>
    <n v="7375"/>
    <n v="10883.499959999999"/>
    <n v="18258.499960000001"/>
    <n v="19499.776330000001"/>
    <n v="0"/>
    <n v="2475.6103606479032"/>
    <n v="0"/>
    <n v="0"/>
    <n v="0"/>
    <n v="2905.8255513392301"/>
    <n v="4469.1623472813199"/>
    <n v="7481.4115994248214"/>
    <n v="0"/>
    <n v="0"/>
    <n v="0"/>
    <n v="0"/>
    <n v="0"/>
    <n v="361.61261899428769"/>
    <m/>
    <n v="65.36961429743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60662605846244"/>
    <n v="0"/>
    <n v="0"/>
    <n v="0"/>
    <n v="0"/>
    <n v="0"/>
    <m/>
    <m/>
    <m/>
    <m/>
    <m/>
    <m/>
    <m/>
    <m/>
    <m/>
    <n v="7981.0182254832835"/>
    <m/>
    <m/>
    <m/>
    <m/>
    <m/>
    <m/>
    <m/>
    <m/>
    <m/>
    <m/>
    <m/>
    <m/>
    <n v="19500.110100000002"/>
    <n v="1241.5801400000055"/>
    <m/>
    <m/>
    <m/>
    <m/>
    <n v="41.070989999999739"/>
    <n v="1200.2053799999999"/>
    <m/>
    <n v="1676.1166300695932"/>
    <n v="0"/>
    <n v="0"/>
    <n v="0"/>
    <n v="0"/>
    <n v="0"/>
    <n v="0"/>
    <n v="0"/>
    <n v="624.9609259466497"/>
    <n v="0"/>
    <n v="0"/>
    <n v="1135.7420381540551"/>
    <n v="0"/>
    <n v="0"/>
    <n v="0"/>
    <n v="75.844543534879108"/>
    <n v="0"/>
    <n v="-135.97005377095456"/>
    <m/>
    <n v="0"/>
    <n v="0"/>
    <n v="0"/>
    <n v="0"/>
    <n v="-19.974401672415752"/>
    <n v="-4.4864221226176326"/>
    <n v="0"/>
    <n v="253.17313232120731"/>
    <m/>
    <m/>
    <n v="4469.1623472813199"/>
    <n v="0"/>
    <n v="0"/>
    <n v="0"/>
    <n v="41.070990000000165"/>
    <n v="1200.2053799999994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7"/>
    <s v="Regular"/>
    <s v="Azul"/>
    <s v="A4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5.05"/>
    <n v="1407.9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Ponta"/>
    <s v="CATIVO"/>
    <x v="8"/>
    <n v="0"/>
    <n v="0"/>
    <n v="0.77300000000000002"/>
    <n v="0.77300000000000002"/>
    <n v="0.77300000000000002"/>
    <n v="0.77300000000000002"/>
    <m/>
    <n v="4750.8599999999997"/>
    <n v="207.07"/>
    <m/>
    <n v="3832.4798900000001"/>
    <n v="3832.4798900000001"/>
    <n v="3733.5668100000003"/>
    <n v="0"/>
    <n v="52.967057177913297"/>
    <n v="0"/>
    <n v="0"/>
    <n v="0"/>
    <n v="995.1118951749238"/>
    <n v="2604.5104708947188"/>
    <n v="160.0689519874723"/>
    <n v="0"/>
    <n v="0"/>
    <n v="0"/>
    <n v="0"/>
    <n v="0"/>
    <n v="7.7369026123774365"/>
    <m/>
    <n v="1.3986191660970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9360954999902"/>
    <n v="0"/>
    <n v="0"/>
    <n v="0"/>
    <n v="0"/>
    <n v="0"/>
    <m/>
    <m/>
    <m/>
    <m/>
    <m/>
    <m/>
    <m/>
    <m/>
    <m/>
    <n v="170.7583129424722"/>
    <m/>
    <m/>
    <m/>
    <m/>
    <m/>
    <m/>
    <m/>
    <m/>
    <m/>
    <m/>
    <m/>
    <m/>
    <n v="3719.0769"/>
    <n v="-113.4329900000007"/>
    <m/>
    <m/>
    <m/>
    <m/>
    <n v="-124.59213999999953"/>
    <n v="25.67906"/>
    <m/>
    <n v="236.51049548632454"/>
    <n v="0"/>
    <n v="0"/>
    <n v="0"/>
    <n v="0"/>
    <n v="0"/>
    <n v="0"/>
    <n v="0"/>
    <n v="214.0204359970769"/>
    <n v="0"/>
    <n v="0"/>
    <n v="24.299831035818471"/>
    <n v="0"/>
    <n v="0"/>
    <n v="0"/>
    <n v="1.6227360888057127"/>
    <n v="0"/>
    <n v="-2.9091547389894004"/>
    <m/>
    <n v="0"/>
    <n v="0"/>
    <n v="0"/>
    <n v="0"/>
    <n v="-0.42736340592812905"/>
    <n v="-9.5989490458729287E-2"/>
    <n v="0"/>
    <n v="65.716087401773024"/>
    <m/>
    <m/>
    <m/>
    <n v="2604.5104708947188"/>
    <n v="0"/>
    <n v="0"/>
    <n v="-124.59213999999974"/>
    <n v="25.679059999999993"/>
    <n v="0"/>
    <n v="0"/>
    <n v="-401.1399793023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9"/>
    <s v="Regular"/>
    <s v="Verde"/>
    <s v="A4"/>
    <s v="Comercial"/>
    <s v="Não se aplica"/>
    <s v="Não se aplica"/>
    <s v="Não se aplica"/>
    <s v="Fora ponta"/>
    <s v="CATIVO"/>
    <x v="8"/>
    <n v="0"/>
    <n v="0"/>
    <n v="103.928"/>
    <n v="103.928"/>
    <n v="103.928"/>
    <n v="103.928"/>
    <m/>
    <n v="94.17"/>
    <n v="207.07"/>
    <m/>
    <n v="31307.27072"/>
    <n v="31307.27072"/>
    <n v="34688.048559999996"/>
    <n v="0"/>
    <n v="7121.2940729445963"/>
    <n v="0"/>
    <n v="0"/>
    <n v="0"/>
    <n v="0"/>
    <n v="0"/>
    <n v="21520.887506020725"/>
    <n v="0"/>
    <n v="0"/>
    <n v="0"/>
    <n v="0"/>
    <n v="0"/>
    <n v="1040.2080397143106"/>
    <m/>
    <n v="188.04099960430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1589978411771"/>
    <n v="0"/>
    <n v="0"/>
    <n v="0"/>
    <n v="0"/>
    <n v="0"/>
    <m/>
    <m/>
    <m/>
    <m/>
    <m/>
    <m/>
    <m/>
    <m/>
    <m/>
    <n v="22958.0465038619"/>
    <m/>
    <m/>
    <m/>
    <m/>
    <m/>
    <m/>
    <m/>
    <m/>
    <m/>
    <m/>
    <m/>
    <m/>
    <n v="34688.716100000005"/>
    <n v="3381.4153800000058"/>
    <m/>
    <m/>
    <m/>
    <m/>
    <n v="-71.710319999999768"/>
    <n v="3452.4881599999999"/>
    <m/>
    <n v="3023.7346734780876"/>
    <n v="0"/>
    <n v="0"/>
    <n v="0"/>
    <n v="0"/>
    <n v="0"/>
    <n v="0"/>
    <n v="0"/>
    <n v="0"/>
    <n v="0"/>
    <n v="0"/>
    <n v="3267.0541266371838"/>
    <n v="0"/>
    <n v="0"/>
    <n v="0"/>
    <n v="218.17298348952136"/>
    <n v="0"/>
    <n v="-391.12889225574509"/>
    <m/>
    <n v="0"/>
    <n v="0"/>
    <n v="0"/>
    <n v="0"/>
    <n v="-57.457987129752382"/>
    <n v="-12.905557263123967"/>
    <n v="0"/>
    <n v="356.60023992058404"/>
    <m/>
    <m/>
    <m/>
    <n v="0"/>
    <n v="0"/>
    <n v="0"/>
    <n v="-71.710320000000138"/>
    <n v="3452.48815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8"/>
    <n v="330"/>
    <n v="330"/>
    <n v="0"/>
    <n v="0"/>
    <n v="0"/>
    <n v="0"/>
    <n v="73.75"/>
    <m/>
    <m/>
    <n v="24337.5"/>
    <m/>
    <n v="24337.5"/>
    <n v="24555.3"/>
    <n v="0"/>
    <n v="0"/>
    <n v="0"/>
    <n v="0"/>
    <n v="0"/>
    <n v="9589.2243194194598"/>
    <n v="14748.2357460283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4555.3"/>
    <n v="217.77000000000407"/>
    <m/>
    <m/>
    <m/>
    <m/>
    <n v="217.79999999999887"/>
    <n v="0"/>
    <m/>
    <n v="2062.3710556239439"/>
    <n v="0"/>
    <n v="0"/>
    <n v="0"/>
    <n v="0"/>
    <m/>
    <m/>
    <m/>
    <n v="2062.3710556239439"/>
    <n v="0"/>
    <n v="0"/>
    <m/>
    <m/>
    <n v="0"/>
    <n v="0"/>
    <n v="0"/>
    <n v="0"/>
    <n v="0"/>
    <m/>
    <n v="0"/>
    <n v="0"/>
    <m/>
    <n v="0"/>
    <n v="0"/>
    <n v="0"/>
    <n v="0"/>
    <n v="426.38126252501013"/>
    <m/>
    <m/>
    <n v="14748.235746028355"/>
    <m/>
    <n v="0"/>
    <n v="0"/>
    <n v="217.79999999999927"/>
    <m/>
    <n v="0"/>
    <m/>
    <n v="-2271.48519770617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81"/>
    <s v="Regular"/>
    <s v="Branca"/>
    <s v="B3"/>
    <s v="Comercial"/>
    <s v="Não se aplica"/>
    <s v="Não se aplica"/>
    <s v="Não se aplica"/>
    <s v="Ponta"/>
    <s v="CATIVO"/>
    <x v="8"/>
    <n v="0"/>
    <n v="0"/>
    <n v="3.3000000000000002E-2"/>
    <n v="3.3000000000000002E-2"/>
    <n v="3.3000000000000002E-2"/>
    <n v="3.3000000000000002E-2"/>
    <m/>
    <n v="2482.39"/>
    <n v="207.07"/>
    <m/>
    <n v="88.752179999999996"/>
    <n v="88.752179999999996"/>
    <n v="86.705190000000002"/>
    <n v="0"/>
    <n v="2.5990883211716413"/>
    <n v="0"/>
    <n v="0"/>
    <n v="0"/>
    <n v="20.084446162780793"/>
    <n v="57.742407800728863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"/>
    <n v="0"/>
    <n v="0"/>
    <n v="0"/>
    <m/>
    <m/>
    <m/>
    <m/>
    <m/>
    <m/>
    <m/>
    <m/>
    <m/>
    <n v="7.9043347800865913"/>
    <m/>
    <m/>
    <m/>
    <m/>
    <m/>
    <m/>
    <m/>
    <m/>
    <m/>
    <m/>
    <m/>
    <m/>
    <n v="78.82289999999999"/>
    <n v="-9.959280000000021"/>
    <m/>
    <m/>
    <m/>
    <m/>
    <n v="-3.1432500000000001"/>
    <n v="1.09626"/>
    <m/>
    <n v="5.3522380394625912"/>
    <n v="0"/>
    <n v="0"/>
    <n v="0"/>
    <n v="0"/>
    <n v="0"/>
    <n v="0"/>
    <n v="0"/>
    <n v="4.3195965653314303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1.4939713173507119"/>
    <m/>
    <m/>
    <m/>
    <n v="57.742407800728863"/>
    <n v="0"/>
    <n v="0"/>
    <n v="-3.1432499999999948"/>
    <n v="1.09626"/>
    <n v="0"/>
    <n v="0"/>
    <n v="-8.893336590079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2"/>
    <s v="Regular"/>
    <s v="Branca"/>
    <s v="B3"/>
    <s v="Comercial"/>
    <s v="Não se aplica"/>
    <s v="Não se aplica"/>
    <s v="Não se aplica"/>
    <s v="Fora ponta"/>
    <s v="CATIVO"/>
    <x v="8"/>
    <n v="0"/>
    <n v="0"/>
    <n v="0.21299999999999999"/>
    <n v="0.21299999999999999"/>
    <n v="0.21299999999999999"/>
    <n v="0.21299999999999999"/>
    <m/>
    <n v="595.67999999999995"/>
    <n v="207.07"/>
    <m/>
    <n v="170.98575"/>
    <n v="170.98575"/>
    <n v="174.34902"/>
    <n v="0"/>
    <n v="16.775933709380595"/>
    <n v="0"/>
    <n v="0"/>
    <n v="0"/>
    <n v="25.926945956846858"/>
    <n v="74.540220772615484"/>
    <n v="44.10696865890246"/>
    <n v="0"/>
    <n v="0"/>
    <n v="0"/>
    <n v="0"/>
    <n v="0"/>
    <n v="2.1319020135011564"/>
    <m/>
    <n v="0.5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119194671109865"/>
    <n v="0"/>
    <n v="0"/>
    <n v="0"/>
    <n v="0"/>
    <n v="0"/>
    <m/>
    <m/>
    <m/>
    <m/>
    <m/>
    <m/>
    <m/>
    <m/>
    <m/>
    <n v="51.018888126013444"/>
    <m/>
    <m/>
    <m/>
    <m/>
    <m/>
    <m/>
    <m/>
    <m/>
    <m/>
    <m/>
    <m/>
    <m/>
    <n v="171.89339999999999"/>
    <n v="0.87765000000001692"/>
    <m/>
    <m/>
    <m/>
    <m/>
    <n v="-3.7125899999999894"/>
    <n v="7.0758599999999996"/>
    <m/>
    <n v="12.241384431651866"/>
    <n v="0"/>
    <n v="0"/>
    <n v="0"/>
    <n v="0"/>
    <n v="0"/>
    <n v="0"/>
    <n v="0"/>
    <n v="5.5761530986235357"/>
    <n v="0"/>
    <n v="0"/>
    <n v="6.6958137265580007"/>
    <n v="0"/>
    <n v="0"/>
    <n v="0"/>
    <n v="1.049288279198092"/>
    <n v="0"/>
    <n v="-0.92139887794196085"/>
    <m/>
    <n v="0"/>
    <n v="0"/>
    <n v="0"/>
    <n v="0"/>
    <n v="-0.11775990357398625"/>
    <n v="-4.0711891211772655E-2"/>
    <n v="0"/>
    <n v="2.6023291446837216"/>
    <m/>
    <m/>
    <m/>
    <n v="74.540220772615484"/>
    <n v="0"/>
    <n v="0"/>
    <n v="-3.7125899999999916"/>
    <n v="7.0758600000000058"/>
    <n v="0"/>
    <n v="0"/>
    <n v="-11.48049238122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3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84"/>
    <s v="Regular"/>
    <s v="Branca"/>
    <s v="B3"/>
    <s v="Comercial"/>
    <s v="Não se aplica"/>
    <s v="Não se aplica"/>
    <s v="Não se aplica"/>
    <s v="Intermediário"/>
    <s v="CATIVO"/>
    <x v="8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m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5"/>
    <s v="Regular"/>
    <s v="Convencional"/>
    <s v="B2"/>
    <s v="Rural"/>
    <s v="Não se aplica"/>
    <s v="Não se aplica"/>
    <s v="Não se aplica"/>
    <s v="Não se aplica"/>
    <s v="CATIVO"/>
    <x v="8"/>
    <n v="0"/>
    <n v="0"/>
    <n v="38.148000000000003"/>
    <n v="38.148000000000003"/>
    <n v="38.148000000000003"/>
    <n v="38.148000000000003"/>
    <m/>
    <n v="897.25"/>
    <n v="207.07"/>
    <m/>
    <n v="42127.599360000007"/>
    <n v="42127.599360000007"/>
    <n v="42255.39516"/>
    <n v="0"/>
    <n v="3004.5460992744179"/>
    <n v="0"/>
    <n v="0"/>
    <n v="0"/>
    <n v="7612.325240551304"/>
    <n v="21885.327846358261"/>
    <n v="7899.495964318362"/>
    <n v="0"/>
    <n v="0"/>
    <n v="0"/>
    <n v="0"/>
    <n v="0"/>
    <n v="381.82064793916493"/>
    <m/>
    <n v="106.24028740960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9150414617368"/>
    <n v="0"/>
    <n v="44.1"/>
    <n v="203.73"/>
    <n v="0"/>
    <n v="145"/>
    <m/>
    <m/>
    <m/>
    <m/>
    <m/>
    <n v="5070.632160000001"/>
    <m/>
    <m/>
    <m/>
    <n v="9137.411005780099"/>
    <m/>
    <m/>
    <m/>
    <m/>
    <m/>
    <m/>
    <m/>
    <m/>
    <m/>
    <m/>
    <m/>
    <m/>
    <n v="37186.712499999994"/>
    <n v="114.07461999999214"/>
    <m/>
    <m/>
    <m/>
    <m/>
    <n v="-1139.4807600000004"/>
    <n v="1267.27656"/>
    <m/>
    <n v="2830.9294964642904"/>
    <n v="0"/>
    <n v="0"/>
    <n v="0"/>
    <n v="0"/>
    <n v="0"/>
    <n v="0"/>
    <n v="0"/>
    <n v="1637.1959523686737"/>
    <n v="0"/>
    <n v="0"/>
    <n v="1199.2108077029798"/>
    <n v="0"/>
    <n v="0"/>
    <n v="0"/>
    <n v="187.92605293356269"/>
    <n v="0"/>
    <n v="-165.02124129450658"/>
    <m/>
    <n v="0"/>
    <n v="0"/>
    <n v="0"/>
    <n v="0"/>
    <n v="-21.09063287108188"/>
    <n v="-7.2914423753366293"/>
    <n v="0"/>
    <n v="667.62053757256388"/>
    <m/>
    <m/>
    <m/>
    <n v="21885.327846358261"/>
    <n v="0"/>
    <n v="0"/>
    <n v="-1139.4807600000058"/>
    <n v="1267.2765600000002"/>
    <n v="0"/>
    <n v="0"/>
    <n v="-3370.721698921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2010000000000001"/>
    <n v="3.2010000000000001"/>
    <n v="3.2010000000000001"/>
    <n v="3.2010000000000001"/>
    <m/>
    <n v="897.25"/>
    <n v="207.07"/>
    <m/>
    <n v="3534.92832"/>
    <n v="3534.92832"/>
    <n v="3545.6516700000002"/>
    <n v="0"/>
    <n v="252.11156715364922"/>
    <n v="0"/>
    <n v="0"/>
    <n v="0"/>
    <n v="638.75047433691736"/>
    <n v="1836.3986168657018"/>
    <n v="662.84697970491447"/>
    <n v="0"/>
    <n v="0"/>
    <n v="0"/>
    <n v="0"/>
    <n v="0"/>
    <n v="32.038583780362451"/>
    <m/>
    <n v="8.9146261926747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87349396348483"/>
    <n v="0"/>
    <n v="0"/>
    <n v="0"/>
    <n v="0"/>
    <n v="7"/>
    <m/>
    <m/>
    <m/>
    <m/>
    <m/>
    <n v="425.47692000000006"/>
    <m/>
    <m/>
    <m/>
    <n v="766.72047366839934"/>
    <m/>
    <m/>
    <m/>
    <m/>
    <m/>
    <m/>
    <m/>
    <m/>
    <m/>
    <m/>
    <m/>
    <m/>
    <n v="3119.2"/>
    <n v="8.406189999999242"/>
    <m/>
    <m/>
    <m/>
    <m/>
    <n v="-95.61387000000002"/>
    <n v="106.33722"/>
    <m/>
    <n v="237.54339200435629"/>
    <n v="0"/>
    <n v="0"/>
    <n v="0"/>
    <n v="0"/>
    <n v="0"/>
    <n v="0"/>
    <n v="0"/>
    <n v="137.37716901363433"/>
    <n v="0"/>
    <n v="0"/>
    <n v="100.62582036954063"/>
    <n v="0"/>
    <n v="0"/>
    <n v="0"/>
    <n v="15.768881604286818"/>
    <n v="0"/>
    <n v="-13.846938067099586"/>
    <m/>
    <n v="0"/>
    <n v="0"/>
    <n v="0"/>
    <n v="0"/>
    <n v="-1.7697157339921645"/>
    <n v="-0.61182518201354164"/>
    <n v="0"/>
    <n v="56.020062408770492"/>
    <m/>
    <m/>
    <m/>
    <n v="1836.3986168657018"/>
    <n v="0"/>
    <n v="0"/>
    <n v="-95.613870000000134"/>
    <n v="106.33722"/>
    <n v="0"/>
    <n v="0"/>
    <n v="-282.8373743904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7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2.812999999999999"/>
    <n v="22.812999999999999"/>
    <n v="22.812999999999999"/>
    <n v="22.812999999999999"/>
    <m/>
    <n v="897.25"/>
    <n v="207.07"/>
    <m/>
    <n v="25192.852159999995"/>
    <n v="25192.852159999995"/>
    <n v="25269.275709999998"/>
    <n v="0"/>
    <n v="1796.7576324511713"/>
    <n v="0"/>
    <n v="0"/>
    <n v="0"/>
    <n v="4552.2694692433906"/>
    <n v="13087.710604985083"/>
    <n v="4724.0012958476136"/>
    <n v="0"/>
    <n v="0"/>
    <n v="0"/>
    <n v="0"/>
    <n v="0"/>
    <n v="228.33371189672243"/>
    <m/>
    <n v="63.53307320633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0.28929015588233"/>
    <n v="0"/>
    <n v="192.17"/>
    <n v="887.6"/>
    <n v="0"/>
    <n v="31"/>
    <m/>
    <m/>
    <m/>
    <m/>
    <m/>
    <m/>
    <m/>
    <m/>
    <m/>
    <n v="5464.2905860034962"/>
    <m/>
    <m/>
    <m/>
    <m/>
    <m/>
    <m/>
    <m/>
    <m/>
    <m/>
    <m/>
    <m/>
    <m/>
    <n v="25265.952699999998"/>
    <n v="73.070540000007895"/>
    <m/>
    <m/>
    <m/>
    <m/>
    <n v="-681.4243100000001"/>
    <n v="757.84785999999997"/>
    <m/>
    <n v="1692.9326466089915"/>
    <n v="0"/>
    <n v="0"/>
    <n v="0"/>
    <n v="0"/>
    <n v="0"/>
    <n v="0"/>
    <n v="0"/>
    <n v="979.06446632553616"/>
    <n v="0"/>
    <n v="0"/>
    <n v="717.14365513599842"/>
    <n v="0"/>
    <n v="0"/>
    <n v="0"/>
    <n v="112.38222306735247"/>
    <n v="0"/>
    <n v="-98.684847899013675"/>
    <m/>
    <n v="0"/>
    <n v="0"/>
    <n v="0"/>
    <n v="0"/>
    <n v="-12.612472677151885"/>
    <n v="-4.3603773437284872"/>
    <n v="0"/>
    <n v="399.24576186544238"/>
    <m/>
    <m/>
    <m/>
    <n v="13087.710604985083"/>
    <n v="0"/>
    <n v="0"/>
    <n v="-681.42430999999851"/>
    <n v="757.84785999999986"/>
    <n v="0"/>
    <n v="0"/>
    <n v="-2015.735402052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41.02600000000001"/>
    <n v="241.02600000000001"/>
    <n v="241.02600000000001"/>
    <n v="241.02600000000001"/>
    <m/>
    <n v="493.49"/>
    <n v="113.89"/>
    <m/>
    <n v="146394.37187999999"/>
    <n v="146394.37187999999"/>
    <n v="146837.85972000001"/>
    <n v="0"/>
    <n v="10440.797694978595"/>
    <n v="0"/>
    <n v="0"/>
    <n v="0"/>
    <n v="26452.830210915839"/>
    <n v="76051.514266095037"/>
    <n v="27450.74847600632"/>
    <n v="0"/>
    <n v="0"/>
    <n v="0"/>
    <n v="0"/>
    <n v="0"/>
    <n v="1326.8267515885968"/>
    <m/>
    <n v="369.18499874838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1.7547690795318"/>
    <n v="0"/>
    <n v="1221.49"/>
    <n v="5637.68"/>
    <n v="0"/>
    <n v="3"/>
    <m/>
    <m/>
    <m/>
    <m/>
    <m/>
    <m/>
    <m/>
    <m/>
    <m/>
    <n v="31752.503245085853"/>
    <m/>
    <m/>
    <m/>
    <m/>
    <m/>
    <m/>
    <m/>
    <m/>
    <m/>
    <m/>
    <m/>
    <m/>
    <n v="146840.2966"/>
    <n v="445.89472000001115"/>
    <m/>
    <m/>
    <m/>
    <m/>
    <n v="-3960.0571800000016"/>
    <n v="4403.5450199999996"/>
    <m/>
    <n v="9837.4800002132251"/>
    <n v="0"/>
    <n v="0"/>
    <n v="0"/>
    <n v="0"/>
    <n v="0"/>
    <n v="0"/>
    <n v="0"/>
    <n v="5689.2559344810397"/>
    <n v="0"/>
    <n v="0"/>
    <n v="4167.2575567677559"/>
    <n v="0"/>
    <n v="0"/>
    <n v="0"/>
    <n v="653.0430339441391"/>
    <n v="0"/>
    <n v="-573.44881349840762"/>
    <m/>
    <n v="0"/>
    <n v="0"/>
    <n v="0"/>
    <n v="0"/>
    <n v="-73.289949227008719"/>
    <n v="-25.337762254294887"/>
    <n v="0"/>
    <n v="2319.9813680646635"/>
    <m/>
    <m/>
    <m/>
    <n v="76051.514266095037"/>
    <n v="0"/>
    <n v="0"/>
    <n v="-3960.0571799999889"/>
    <n v="4403.5450199999977"/>
    <n v="0"/>
    <n v="0"/>
    <n v="-11713.25790375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.467000000000001"/>
    <n v="13.598979999999999"/>
    <n v="14.467000000000001"/>
    <n v="13.598979999999999"/>
    <m/>
    <n v="897.25"/>
    <n v="207.07"/>
    <m/>
    <n v="15976.19744"/>
    <n v="15976.19744"/>
    <n v="16024.661889999999"/>
    <n v="0"/>
    <n v="1139.4245679512162"/>
    <n v="0"/>
    <n v="0"/>
    <n v="0"/>
    <n v="2886.8488323124598"/>
    <n v="8299.6497313952223"/>
    <n v="2995.7535943114644"/>
    <n v="0"/>
    <n v="0"/>
    <n v="0"/>
    <n v="0"/>
    <n v="0"/>
    <n v="144.79918511418418"/>
    <m/>
    <n v="40.289877266299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9.45886821922375"/>
    <n v="0"/>
    <n v="10.51"/>
    <n v="48.52"/>
    <n v="0"/>
    <n v="2"/>
    <m/>
    <m/>
    <m/>
    <m/>
    <n v="961.47971340000151"/>
    <m/>
    <m/>
    <m/>
    <m/>
    <n v="3465.2124625306883"/>
    <m/>
    <m/>
    <m/>
    <m/>
    <m/>
    <m/>
    <m/>
    <m/>
    <m/>
    <m/>
    <m/>
    <m/>
    <n v="15064.312"/>
    <n v="46.656406400001288"/>
    <m/>
    <m/>
    <m/>
    <m/>
    <n v="-432.12929000000008"/>
    <n v="480.59374000000003"/>
    <m/>
    <n v="1073.5833339978217"/>
    <n v="0"/>
    <n v="0"/>
    <n v="0"/>
    <n v="0"/>
    <n v="0"/>
    <n v="0"/>
    <n v="0"/>
    <n v="620.87957017189865"/>
    <n v="0"/>
    <n v="0"/>
    <n v="454.78092573762706"/>
    <n v="0"/>
    <n v="0"/>
    <n v="0"/>
    <n v="71.26785697257651"/>
    <n v="0"/>
    <n v="-62.581584822470859"/>
    <m/>
    <n v="0"/>
    <n v="0"/>
    <n v="0"/>
    <n v="0"/>
    <n v="-7.9982747652810247"/>
    <n v="-2.7651592965291769"/>
    <n v="0"/>
    <n v="253.18408087087869"/>
    <m/>
    <m/>
    <m/>
    <n v="8299.6497313952223"/>
    <n v="0"/>
    <n v="0"/>
    <n v="-432.12929000000076"/>
    <n v="480.59374000000025"/>
    <n v="0"/>
    <n v="0"/>
    <n v="-1278.290626462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0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.651"/>
    <n v="1.5519400000000001"/>
    <n v="1.651"/>
    <n v="1.5519400000000001"/>
    <m/>
    <n v="4750.8599999999997"/>
    <n v="207.07"/>
    <m/>
    <n v="8185.5424299999995"/>
    <n v="8185.5424299999995"/>
    <n v="7974.2804700000006"/>
    <n v="0"/>
    <n v="113.12886339034263"/>
    <n v="0"/>
    <n v="0"/>
    <n v="0"/>
    <n v="2125.3942288923663"/>
    <n v="5562.8030885474518"/>
    <n v="341.88077584905147"/>
    <n v="0"/>
    <n v="0"/>
    <n v="0"/>
    <n v="0"/>
    <n v="0"/>
    <n v="16.524742837044176"/>
    <m/>
    <n v="2.9872189433715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30704963395654"/>
    <n v="0"/>
    <n v="0"/>
    <n v="0"/>
    <n v="0"/>
    <n v="0"/>
    <m/>
    <m/>
    <m/>
    <m/>
    <n v="478.45682819999968"/>
    <m/>
    <m/>
    <m/>
    <m/>
    <n v="364.71148081244712"/>
    <m/>
    <m/>
    <m/>
    <m/>
    <m/>
    <m/>
    <m/>
    <m/>
    <m/>
    <m/>
    <m/>
    <m/>
    <n v="7486.4535000000005"/>
    <n v="-207.98638420000043"/>
    <m/>
    <m/>
    <m/>
    <m/>
    <n v="-266.10817999999898"/>
    <n v="54.846220000000002"/>
    <m/>
    <n v="505.14725491322451"/>
    <n v="0"/>
    <n v="0"/>
    <n v="0"/>
    <n v="0"/>
    <n v="0"/>
    <n v="0"/>
    <n v="0"/>
    <n v="457.11221194201016"/>
    <n v="0"/>
    <n v="0"/>
    <n v="51.900415317123247"/>
    <n v="0"/>
    <n v="0"/>
    <n v="0"/>
    <n v="3.4658955790662738"/>
    <n v="0"/>
    <n v="-6.2134727995750296"/>
    <m/>
    <n v="0"/>
    <n v="0"/>
    <n v="0"/>
    <n v="0"/>
    <n v="-0.91277746854766129"/>
    <n v="-0.20501765685299089"/>
    <n v="0"/>
    <n v="140.35868085423965"/>
    <m/>
    <m/>
    <m/>
    <n v="5562.8030885474518"/>
    <n v="0"/>
    <n v="0"/>
    <n v="-266.10817999999927"/>
    <n v="54.846220000000017"/>
    <n v="0"/>
    <n v="0"/>
    <n v="-856.7685715759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1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6.783999999999999"/>
    <n v="15.776960000000001"/>
    <n v="16.783999999999999"/>
    <n v="15.776960000000001"/>
    <m/>
    <n v="94.17"/>
    <n v="207.07"/>
    <m/>
    <n v="5056.0121599999993"/>
    <n v="5056.0121599999993"/>
    <n v="5601.99568"/>
    <n v="0"/>
    <n v="1150.0635028125444"/>
    <n v="0"/>
    <n v="0"/>
    <n v="0"/>
    <n v="0"/>
    <n v="0"/>
    <n v="3475.5463003334216"/>
    <n v="0"/>
    <n v="0"/>
    <n v="0"/>
    <n v="0"/>
    <n v="0"/>
    <n v="167.98987509203479"/>
    <m/>
    <n v="30.36794836193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09603398281806"/>
    <n v="0"/>
    <n v="0"/>
    <n v="0"/>
    <n v="0"/>
    <n v="0"/>
    <m/>
    <m/>
    <m/>
    <m/>
    <n v="336.11974079999936"/>
    <m/>
    <m/>
    <m/>
    <m/>
    <n v="3707.6423343162396"/>
    <m/>
    <m/>
    <m/>
    <m/>
    <m/>
    <m/>
    <m/>
    <m/>
    <m/>
    <m/>
    <m/>
    <m/>
    <n v="5266.8905999999997"/>
    <n v="514.20916959999977"/>
    <m/>
    <m/>
    <m/>
    <m/>
    <n v="-11.580959999999962"/>
    <n v="557.56447999999989"/>
    <m/>
    <n v="488.32232660742193"/>
    <n v="0"/>
    <n v="0"/>
    <n v="0"/>
    <n v="0"/>
    <n v="0"/>
    <n v="0"/>
    <n v="0"/>
    <n v="0"/>
    <n v="0"/>
    <n v="0"/>
    <n v="527.61754735469231"/>
    <n v="0"/>
    <n v="0"/>
    <n v="0"/>
    <n v="35.23415590493542"/>
    <n v="0"/>
    <n v="-63.165916092106272"/>
    <m/>
    <n v="0"/>
    <n v="0"/>
    <n v="0"/>
    <n v="0"/>
    <n v="-9.279259256271331"/>
    <n v="-2.0842013038283476"/>
    <n v="0"/>
    <n v="57.589662331874784"/>
    <m/>
    <m/>
    <m/>
    <n v="0"/>
    <n v="0"/>
    <n v="0"/>
    <n v="-11.580960000000005"/>
    <n v="557.5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2"/>
    <s v="Regular"/>
    <s v="Verde"/>
    <s v="A4"/>
    <s v="Serviço público"/>
    <s v="Água, esgoto e saneamento"/>
    <s v="Não se aplica"/>
    <s v="Não se aplica"/>
    <s v="Não se aplica"/>
    <s v="CATIVO"/>
    <x v="8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1000000000001"/>
    <n v="605.1699999999999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m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9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m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95"/>
    <s v="Regular"/>
    <s v="Convencional"/>
    <s v="B2"/>
    <s v="Rural"/>
    <s v="Agropecuária rural"/>
    <s v="IRRIG./AQUIC."/>
    <s v="Não se aplica"/>
    <s v="Não se aplica"/>
    <s v="CATIVO"/>
    <x v="8"/>
    <n v="0"/>
    <n v="0"/>
    <n v="0.373"/>
    <n v="0.373"/>
    <n v="0.373"/>
    <n v="0.373"/>
    <m/>
    <n v="897.25"/>
    <n v="207.07"/>
    <m/>
    <n v="411.91135999999995"/>
    <n v="411.91135999999995"/>
    <n v="413.16091"/>
    <n v="0"/>
    <n v="29.37757405445522"/>
    <n v="0"/>
    <n v="0"/>
    <n v="0"/>
    <n v="74.431092448506774"/>
    <n v="213.98834242140165"/>
    <n v="77.238963895636701"/>
    <n v="0"/>
    <n v="0"/>
    <n v="0"/>
    <n v="0"/>
    <n v="0"/>
    <n v="3.7333307560372364"/>
    <m/>
    <n v="1.0387864948040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03971648978394"/>
    <n v="0"/>
    <n v="0"/>
    <n v="0"/>
    <n v="0"/>
    <n v="0"/>
    <m/>
    <m/>
    <m/>
    <m/>
    <m/>
    <n v="49.579160000000009"/>
    <m/>
    <m/>
    <m/>
    <n v="89.342935544615102"/>
    <m/>
    <m/>
    <m/>
    <m/>
    <m/>
    <m/>
    <m/>
    <m/>
    <m/>
    <m/>
    <m/>
    <m/>
    <n v="360.65750000000003"/>
    <n v="-1.8576299999999719"/>
    <m/>
    <m/>
    <m/>
    <m/>
    <n v="-11.141510000000002"/>
    <n v="12.39106"/>
    <m/>
    <n v="27.680001629998401"/>
    <n v="0"/>
    <n v="0"/>
    <n v="0"/>
    <n v="0"/>
    <n v="0"/>
    <n v="0"/>
    <n v="0"/>
    <n v="16.008023755728075"/>
    <n v="0"/>
    <n v="0"/>
    <n v="11.725532957775272"/>
    <n v="0"/>
    <n v="0"/>
    <n v="0"/>
    <n v="1.8374860476098061"/>
    <n v="0"/>
    <n v="-1.61352949048052"/>
    <m/>
    <n v="0"/>
    <n v="0"/>
    <n v="0"/>
    <n v="0"/>
    <n v="-0.20621804710374159"/>
    <n v="-7.129359353047493E-2"/>
    <n v="0"/>
    <n v="6.5277985874637272"/>
    <m/>
    <m/>
    <m/>
    <n v="213.98834242140165"/>
    <n v="0"/>
    <n v="0"/>
    <n v="-11.141509999999982"/>
    <n v="12.391059999999996"/>
    <n v="0"/>
    <n v="0"/>
    <n v="-32.95793209861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621"/>
    <n v="0.24840000000000001"/>
    <n v="0.621"/>
    <n v="0.24840000000000001"/>
    <m/>
    <n v="897.25"/>
    <n v="207.07"/>
    <m/>
    <n v="685.78271999999993"/>
    <n v="685.78271999999993"/>
    <n v="687.86306999999999"/>
    <n v="0"/>
    <n v="48.910116589320886"/>
    <n v="0"/>
    <n v="0"/>
    <n v="0"/>
    <n v="123.91878930435041"/>
    <n v="356.26477384367411"/>
    <n v="128.59355651257476"/>
    <n v="0"/>
    <n v="0"/>
    <n v="0"/>
    <n v="0"/>
    <n v="0"/>
    <n v="6.2155453069681608"/>
    <m/>
    <n v="1.7294541910812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51652530872877"/>
    <n v="0"/>
    <n v="0"/>
    <n v="0"/>
    <n v="0"/>
    <n v="0"/>
    <m/>
    <m/>
    <m/>
    <m/>
    <m/>
    <m/>
    <n v="445.73516999999998"/>
    <m/>
    <m/>
    <n v="148.74520904344763"/>
    <m/>
    <m/>
    <m/>
    <m/>
    <m/>
    <m/>
    <m/>
    <m/>
    <m/>
    <m/>
    <m/>
    <m/>
    <n v="243.6875"/>
    <n v="2.2598960000000261"/>
    <m/>
    <m/>
    <m/>
    <m/>
    <n v="-18.549270000000003"/>
    <n v="20.629619999999999"/>
    <m/>
    <n v="46.083863303563078"/>
    <n v="0"/>
    <n v="0"/>
    <n v="0"/>
    <n v="0"/>
    <n v="0"/>
    <n v="0"/>
    <n v="0"/>
    <n v="26.651428290367676"/>
    <n v="0"/>
    <n v="0"/>
    <n v="19.521597766162074"/>
    <n v="0"/>
    <n v="0"/>
    <n v="0"/>
    <n v="3.0591925886479601"/>
    <n v="0"/>
    <n v="-2.6863319399152843"/>
    <m/>
    <n v="0"/>
    <n v="0"/>
    <n v="0"/>
    <n v="0"/>
    <n v="-0.34332816957486223"/>
    <n v="-0.11869523212446365"/>
    <n v="0"/>
    <n v="10.86799711210449"/>
    <m/>
    <m/>
    <m/>
    <n v="356.26477384367411"/>
    <n v="0"/>
    <n v="0"/>
    <n v="-18.549269999999979"/>
    <n v="20.629620000000017"/>
    <n v="0"/>
    <n v="0"/>
    <n v="-54.87098078615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7"/>
    <s v="Regular"/>
    <s v="Verde"/>
    <s v="A4"/>
    <s v="Rural"/>
    <s v="Agropecuária rural"/>
    <s v="Não se aplica"/>
    <s v="Não se aplica"/>
    <s v="Ponta"/>
    <s v="CATIVO"/>
    <x v="8"/>
    <n v="0"/>
    <n v="0"/>
    <n v="0.39500000000000002"/>
    <n v="0.37919999999999998"/>
    <n v="0.39500000000000002"/>
    <n v="0.37919999999999998"/>
    <m/>
    <n v="4750.8599999999997"/>
    <n v="207.07"/>
    <m/>
    <n v="1958.3823500000001"/>
    <n v="1958.3823500000001"/>
    <n v="1907.8381500000003"/>
    <n v="0"/>
    <n v="27.065960653655566"/>
    <n v="0"/>
    <n v="0"/>
    <n v="0"/>
    <n v="508.49831642185626"/>
    <n v="1330.8947425658653"/>
    <n v="81.794613240687667"/>
    <n v="0"/>
    <n v="0"/>
    <n v="0"/>
    <n v="0"/>
    <n v="0"/>
    <n v="3.9535272081359478"/>
    <m/>
    <n v="0.7146889658581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622219627748532"/>
    <n v="0"/>
    <n v="0"/>
    <n v="0"/>
    <n v="0"/>
    <n v="0"/>
    <m/>
    <m/>
    <m/>
    <m/>
    <m/>
    <n v="76.313526000000181"/>
    <m/>
    <m/>
    <m/>
    <n v="87.256835203462515"/>
    <m/>
    <m/>
    <m/>
    <m/>
    <m/>
    <m/>
    <m/>
    <m/>
    <m/>
    <m/>
    <m/>
    <m/>
    <n v="1835.3886"/>
    <n v="-44.68845599999986"/>
    <m/>
    <m/>
    <m/>
    <m/>
    <n v="-63.666099999999759"/>
    <n v="13.1219"/>
    <m/>
    <n v="120.85594530025662"/>
    <n v="0"/>
    <n v="0"/>
    <n v="0"/>
    <n v="0"/>
    <n v="0"/>
    <n v="0"/>
    <n v="0"/>
    <n v="109.36361218479357"/>
    <n v="0"/>
    <n v="0"/>
    <n v="12.417119352067644"/>
    <n v="0"/>
    <n v="0"/>
    <n v="0"/>
    <n v="0.82921184356824895"/>
    <n v="0"/>
    <n v="-1.486566781242967"/>
    <m/>
    <n v="0"/>
    <n v="0"/>
    <n v="0"/>
    <n v="0"/>
    <n v="-0.21838104183908325"/>
    <n v="-4.9050257090812566E-2"/>
    <n v="0"/>
    <n v="33.58066561927599"/>
    <m/>
    <m/>
    <m/>
    <n v="1330.8947425658653"/>
    <n v="0"/>
    <n v="0"/>
    <n v="-63.666099999999687"/>
    <n v="13.121900000000011"/>
    <n v="0"/>
    <n v="0"/>
    <n v="-204.9809726059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Agropecuária rural"/>
    <s v="Não se aplica"/>
    <s v="Não se aplica"/>
    <s v="Fora ponta"/>
    <s v="CATIVO"/>
    <x v="8"/>
    <n v="0"/>
    <n v="0"/>
    <n v="7.7220000000000004"/>
    <n v="7.4131200000000002"/>
    <n v="7.7220000000000004"/>
    <n v="7.4131200000000002"/>
    <m/>
    <n v="94.17"/>
    <n v="207.07"/>
    <m/>
    <n v="2326.1752800000004"/>
    <n v="2326.1752800000004"/>
    <n v="2577.37194"/>
    <n v="0"/>
    <n v="529.12240042412225"/>
    <n v="0"/>
    <n v="0"/>
    <n v="0"/>
    <n v="0"/>
    <n v="0"/>
    <n v="1599.0329201128864"/>
    <n v="0"/>
    <n v="0"/>
    <n v="0"/>
    <n v="0"/>
    <n v="0"/>
    <n v="77.288954686647571"/>
    <m/>
    <n v="13.971716947737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7829822697403"/>
    <n v="0"/>
    <n v="0"/>
    <n v="0"/>
    <n v="0"/>
    <n v="0"/>
    <m/>
    <m/>
    <m/>
    <m/>
    <m/>
    <n v="103.09487760000009"/>
    <m/>
    <m/>
    <m/>
    <n v="1705.8159023826267"/>
    <m/>
    <m/>
    <m/>
    <m/>
    <m/>
    <m/>
    <m/>
    <m/>
    <m/>
    <m/>
    <m/>
    <m/>
    <n v="2473.2357000000002"/>
    <n v="240.07743120000032"/>
    <m/>
    <m/>
    <m/>
    <m/>
    <n v="-5.3281799999999828"/>
    <n v="256.52483999999998"/>
    <m/>
    <n v="224.66783877874786"/>
    <n v="0"/>
    <n v="0"/>
    <n v="0"/>
    <n v="0"/>
    <n v="0"/>
    <n v="0"/>
    <n v="0"/>
    <n v="0"/>
    <n v="0"/>
    <n v="0"/>
    <n v="242.74682439662388"/>
    <n v="0"/>
    <n v="0"/>
    <n v="0"/>
    <n v="16.210566724136754"/>
    <n v="0"/>
    <n v="-29.061439708248599"/>
    <m/>
    <n v="0"/>
    <n v="0"/>
    <n v="0"/>
    <n v="0"/>
    <n v="-4.2692111521048162"/>
    <n v="-0.9589014816588719"/>
    <n v="0"/>
    <n v="26.495911137198355"/>
    <m/>
    <m/>
    <m/>
    <n v="0"/>
    <n v="0"/>
    <n v="0"/>
    <n v="-5.3281799999999748"/>
    <n v="256.52483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Agropecuária rural"/>
    <s v="Não se aplica"/>
    <s v="Não se aplica"/>
    <s v="Não se aplica"/>
    <s v="CATIVO"/>
    <x v="8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m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00"/>
    <s v="Regular"/>
    <s v="Verde"/>
    <s v="A4"/>
    <s v="Rural"/>
    <s v="Agropecuária rural"/>
    <s v="IRRIG./AQUIC. PR"/>
    <s v="Não se aplica"/>
    <s v="Fora ponta"/>
    <s v="CATIVO"/>
    <x v="8"/>
    <n v="0"/>
    <n v="0"/>
    <n v="5.0709999999999997"/>
    <n v="1.5213000000000001"/>
    <n v="5.0709999999999997"/>
    <n v="1.5213000000000001"/>
    <m/>
    <n v="94.17"/>
    <n v="207.07"/>
    <m/>
    <n v="1527.5880400000001"/>
    <n v="1527.5880400000001"/>
    <n v="1692.5476699999999"/>
    <n v="0"/>
    <n v="347.47211765743634"/>
    <n v="0"/>
    <n v="0"/>
    <n v="0"/>
    <n v="0"/>
    <n v="0"/>
    <n v="1050.0771740342459"/>
    <n v="0"/>
    <n v="0"/>
    <n v="0"/>
    <n v="0"/>
    <n v="0"/>
    <n v="50.755282208752881"/>
    <m/>
    <n v="9.1751588502949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123867274003231"/>
    <n v="0"/>
    <n v="0"/>
    <n v="0"/>
    <n v="0"/>
    <n v="0"/>
    <m/>
    <m/>
    <m/>
    <m/>
    <m/>
    <m/>
    <n v="1184.7833689999998"/>
    <m/>
    <m/>
    <n v="1120.2010413082492"/>
    <m/>
    <m/>
    <m/>
    <m/>
    <m/>
    <m/>
    <m/>
    <m/>
    <m/>
    <m/>
    <m/>
    <m/>
    <n v="507.3304"/>
    <n v="49.023987999999974"/>
    <m/>
    <m/>
    <m/>
    <m/>
    <n v="-3.4989899999999885"/>
    <n v="168.45862"/>
    <m/>
    <n v="147.53828159117234"/>
    <n v="0"/>
    <n v="0"/>
    <n v="0"/>
    <n v="0"/>
    <n v="0"/>
    <n v="0"/>
    <n v="0"/>
    <n v="0"/>
    <n v="0"/>
    <n v="0"/>
    <n v="159.41066388439253"/>
    <n v="0"/>
    <n v="0"/>
    <n v="0"/>
    <n v="10.645400655024289"/>
    <n v="0"/>
    <n v="-19.084506702995157"/>
    <m/>
    <n v="0"/>
    <n v="0"/>
    <n v="0"/>
    <n v="0"/>
    <n v="-2.8035702864961749"/>
    <n v="-0.62970595875319013"/>
    <n v="0"/>
    <n v="17.399736516023417"/>
    <m/>
    <m/>
    <m/>
    <n v="0"/>
    <n v="0"/>
    <n v="0"/>
    <n v="-3.4989899999999921"/>
    <n v="168.4586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1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5"/>
    <n v="10.8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0.78300000000000003"/>
    <n v="0.78300000000000003"/>
    <n v="0.78300000000000003"/>
    <n v="0.78300000000000003"/>
    <m/>
    <n v="897.25"/>
    <n v="207.07"/>
    <m/>
    <n v="864.68255999999997"/>
    <n v="864.68255999999997"/>
    <n v="867.30561"/>
    <n v="0"/>
    <n v="61.669277438708946"/>
    <n v="0"/>
    <n v="0"/>
    <n v="0"/>
    <n v="156.24542999244184"/>
    <n v="449.20341049854562"/>
    <n v="162.1397016897682"/>
    <n v="0"/>
    <n v="0"/>
    <n v="0"/>
    <n v="0"/>
    <n v="0"/>
    <n v="7.8369919087859419"/>
    <m/>
    <n v="2.1806161539719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08605365013628"/>
    <n v="0"/>
    <n v="0"/>
    <n v="0"/>
    <n v="0"/>
    <n v="0"/>
    <m/>
    <m/>
    <m/>
    <m/>
    <m/>
    <n v="104.07636000000002"/>
    <m/>
    <m/>
    <m/>
    <n v="187.54830705478184"/>
    <m/>
    <m/>
    <m/>
    <m/>
    <m/>
    <m/>
    <m/>
    <m/>
    <m/>
    <m/>
    <m/>
    <m/>
    <n v="760.30499999999995"/>
    <n v="-0.65223000000014508"/>
    <m/>
    <m/>
    <m/>
    <m/>
    <n v="-23.388210000000004"/>
    <n v="26.01126"/>
    <m/>
    <n v="58.105740687101274"/>
    <n v="0"/>
    <n v="0"/>
    <n v="0"/>
    <n v="0"/>
    <n v="0"/>
    <n v="0"/>
    <n v="0"/>
    <n v="33.603974800898357"/>
    <n v="0"/>
    <n v="0"/>
    <n v="24.614188487769553"/>
    <n v="0"/>
    <n v="0"/>
    <n v="0"/>
    <n v="3.857242829164818"/>
    <n v="0"/>
    <n v="-3.3871141851105762"/>
    <m/>
    <n v="0"/>
    <n v="0"/>
    <n v="0"/>
    <n v="0"/>
    <n v="-0.43289203989873926"/>
    <n v="-0.14965920572214975"/>
    <n v="0"/>
    <n v="13.703126793523053"/>
    <m/>
    <m/>
    <m/>
    <n v="449.20341049854562"/>
    <n v="0"/>
    <n v="0"/>
    <n v="-23.388209999999958"/>
    <n v="26.011260000000021"/>
    <n v="0"/>
    <n v="0"/>
    <n v="-69.18514968689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3"/>
    <s v="Regular"/>
    <s v="Convencional"/>
    <s v="B1"/>
    <s v="Residencial"/>
    <s v="Residencial"/>
    <s v="Não se aplica"/>
    <s v="Não se aplica"/>
    <s v="Não se aplica"/>
    <s v="CATIVO"/>
    <x v="9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4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5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6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0"/>
    <s v="Regular"/>
    <s v="Branca"/>
    <s v="B1"/>
    <s v="Residencial"/>
    <s v="Residencial"/>
    <s v="Não se aplica"/>
    <s v="Não se aplica"/>
    <s v="Fora ponta"/>
    <s v="CATIVO"/>
    <x v="9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1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12"/>
    <s v="Regular"/>
    <s v="Convencional"/>
    <s v="B3"/>
    <s v="Industrial"/>
    <s v="Não se aplica"/>
    <s v="Não se aplica"/>
    <s v="Não se aplica"/>
    <s v="Não se aplica"/>
    <s v="CATIVO"/>
    <x v="9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4"/>
    <s v="Regular"/>
    <s v="Verde"/>
    <s v="A4"/>
    <s v="Industrial"/>
    <s v="Não se aplica"/>
    <s v="Não se aplica"/>
    <s v="Não se aplica"/>
    <s v="Ponta"/>
    <s v="CATIVO"/>
    <x v="9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5"/>
    <s v="Regular"/>
    <s v="Verde"/>
    <s v="A4"/>
    <s v="Industrial"/>
    <s v="Não se aplica"/>
    <s v="Não se aplica"/>
    <s v="Não se aplica"/>
    <s v="Fora ponta"/>
    <s v="CATIVO"/>
    <x v="9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6"/>
    <s v="Regular"/>
    <s v="Verde"/>
    <s v="A4"/>
    <s v="Industrial"/>
    <s v="Não se aplica"/>
    <s v="Não se aplica"/>
    <s v="Não se aplica"/>
    <s v="Não se aplica"/>
    <s v="CATIVO"/>
    <x v="9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17"/>
    <s v="Regular"/>
    <s v="Convencional"/>
    <s v="B3"/>
    <s v="Comercial"/>
    <s v="Não se aplica"/>
    <s v="Não se aplica"/>
    <s v="Não se aplica"/>
    <s v="Não se aplica"/>
    <s v="CATIVO"/>
    <x v="9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0"/>
    <s v="Regular"/>
    <s v="Azul"/>
    <s v="A4"/>
    <s v="Comercial"/>
    <s v="Não se aplica"/>
    <s v="Não se aplica"/>
    <s v="Não se aplica"/>
    <s v="Ponta"/>
    <s v="CATIVO"/>
    <x v="9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1"/>
    <s v="Regular"/>
    <s v="Azul"/>
    <s v="A4"/>
    <s v="Comercial"/>
    <s v="Não se aplica"/>
    <s v="Não se aplica"/>
    <s v="Não se aplica"/>
    <s v="Fora ponta"/>
    <s v="CATIVO"/>
    <x v="9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2"/>
    <s v="Regular"/>
    <s v="Azul"/>
    <s v="A4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3"/>
    <s v="Regular"/>
    <s v="Verde"/>
    <s v="A4"/>
    <s v="Comercial"/>
    <s v="Não se aplica"/>
    <s v="Não se aplica"/>
    <s v="Não se aplica"/>
    <s v="Ponta"/>
    <s v="CATIVO"/>
    <x v="9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4"/>
    <s v="Regular"/>
    <s v="Verde"/>
    <s v="A4"/>
    <s v="Comercial"/>
    <s v="Não se aplica"/>
    <s v="Não se aplica"/>
    <s v="Não se aplica"/>
    <s v="Fora ponta"/>
    <s v="CATIVO"/>
    <x v="9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5"/>
    <s v="Regular"/>
    <s v="Verde"/>
    <s v="A4"/>
    <s v="Comercial"/>
    <s v="Não se aplica"/>
    <s v="Não se aplica"/>
    <s v="Não se aplica"/>
    <s v="Não se aplica"/>
    <s v="CATIVO"/>
    <x v="9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6"/>
    <s v="Regular"/>
    <s v="Branca"/>
    <s v="B3"/>
    <s v="Comercial"/>
    <s v="Não se aplica"/>
    <s v="Não se aplica"/>
    <s v="Não se aplica"/>
    <s v="Ponta"/>
    <s v="CATIVO"/>
    <x v="9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7"/>
    <s v="Regular"/>
    <s v="Branca"/>
    <s v="B3"/>
    <s v="Comercial"/>
    <s v="Não se aplica"/>
    <s v="Não se aplica"/>
    <s v="Não se aplica"/>
    <s v="Fora ponta"/>
    <s v="CATIVO"/>
    <x v="9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8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9"/>
    <s v="Regular"/>
    <s v="Branca"/>
    <s v="B3"/>
    <s v="Comercial"/>
    <s v="Não se aplica"/>
    <s v="Não se aplica"/>
    <s v="Não se aplica"/>
    <s v="Intermediário"/>
    <s v="CATIVO"/>
    <x v="9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0"/>
    <s v="Regular"/>
    <s v="Convencional"/>
    <s v="B2"/>
    <s v="Rural"/>
    <s v="Não se aplica"/>
    <s v="Não se aplica"/>
    <s v="Não se aplica"/>
    <s v="Não se aplica"/>
    <s v="CATIVO"/>
    <x v="9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7"/>
    <s v="Regular"/>
    <s v="Verde"/>
    <s v="A4"/>
    <s v="Serviço público"/>
    <s v="Água, esgoto e saneamento"/>
    <s v="Não se aplica"/>
    <s v="Não se aplica"/>
    <s v="Não se aplica"/>
    <s v="CATIVO"/>
    <x v="9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3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"/>
    <s v="Não se aplica"/>
    <s v="Não se aplica"/>
    <s v="CATIVO"/>
    <x v="9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2"/>
    <s v="Regular"/>
    <s v="Verde"/>
    <s v="A4"/>
    <s v="Rural"/>
    <s v="Agropecuária rural"/>
    <s v="Não se aplica"/>
    <s v="Não se aplica"/>
    <s v="Ponta"/>
    <s v="CATIVO"/>
    <x v="9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Fora ponta"/>
    <s v="CATIVO"/>
    <x v="9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Não se aplica"/>
    <s v="CATIVO"/>
    <x v="9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45"/>
    <s v="Regular"/>
    <s v="Verde"/>
    <s v="A4"/>
    <s v="Rural"/>
    <s v="Agropecuária rural"/>
    <s v="IRRIG./AQUIC. PR"/>
    <s v="Não se aplica"/>
    <s v="Fora ponta"/>
    <s v="CATIVO"/>
    <x v="9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6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7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8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9"/>
    <s v="PROJETADO"/>
    <s v="Convencional"/>
    <s v="B1"/>
    <s v="Residencial"/>
    <s v="Residencial"/>
    <s v="Não se aplica"/>
    <s v="Não se aplica"/>
    <s v="Não se aplica"/>
    <s v="CATIVO"/>
    <x v="10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29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0"/>
    <s v="PROJETADO"/>
    <s v="Convencional"/>
    <s v="B1"/>
    <s v="Residencial"/>
    <s v="Residencial"/>
    <s v="Não se aplica"/>
    <s v="Não se aplica"/>
    <s v="Não se aplica"/>
    <s v="CATIVO"/>
    <x v="10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29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1"/>
    <s v="PROJETADO"/>
    <s v="Convencional"/>
    <s v="B1"/>
    <s v="Residencial"/>
    <s v="Residencial"/>
    <s v="Não se aplica"/>
    <s v="Não se aplica"/>
    <s v="Não se aplica"/>
    <s v="CATIVO"/>
    <x v="10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29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2"/>
    <s v="PROJETAD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29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3"/>
    <s v="PROJETAD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29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4"/>
    <s v="PROJETAD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29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5"/>
    <s v="PROJETAD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29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6"/>
    <s v="PROJETADO"/>
    <s v="Branca"/>
    <s v="B1"/>
    <s v="Residencial"/>
    <s v="Residencial"/>
    <s v="Não se aplica"/>
    <s v="Não se aplica"/>
    <s v="Fora ponta"/>
    <s v="CATIVO"/>
    <x v="1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29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7"/>
    <s v="PROJETADO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58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29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9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29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0"/>
    <s v="PROJETADO"/>
    <s v="Verde"/>
    <s v="A4"/>
    <s v="Industrial"/>
    <s v="Não se aplica"/>
    <s v="Não se aplica"/>
    <s v="Não se aplica"/>
    <s v="Ponta"/>
    <s v="CATIVO"/>
    <x v="10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29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1"/>
    <s v="PROJETADO"/>
    <s v="Verde"/>
    <s v="A4"/>
    <s v="Industrial"/>
    <s v="Não se aplica"/>
    <s v="Não se aplica"/>
    <s v="Não se aplica"/>
    <s v="Fora ponta"/>
    <s v="CATIVO"/>
    <x v="10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29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2"/>
    <s v="PROJETADO"/>
    <s v="Verde"/>
    <s v="A4"/>
    <s v="Industrial"/>
    <s v="Não se aplica"/>
    <s v="Não se aplica"/>
    <s v="Não se aplica"/>
    <s v="Não se aplica"/>
    <s v="CATIVO"/>
    <x v="1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29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63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29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4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29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5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29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6"/>
    <s v="PROJETADO"/>
    <s v="Azul"/>
    <s v="A4"/>
    <s v="Comercial"/>
    <s v="Não se aplica"/>
    <s v="Não se aplica"/>
    <s v="Não se aplica"/>
    <s v="Ponta"/>
    <s v="CATIVO"/>
    <x v="10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29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7"/>
    <s v="PROJETADO"/>
    <s v="Azul"/>
    <s v="A4"/>
    <s v="Comercial"/>
    <s v="Não se aplica"/>
    <s v="Não se aplica"/>
    <s v="Não se aplica"/>
    <s v="Fora ponta"/>
    <s v="CATIVO"/>
    <x v="10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29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8"/>
    <s v="PROJETADO"/>
    <s v="Azul"/>
    <s v="A4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69"/>
    <s v="PROJETADO"/>
    <s v="Verde"/>
    <s v="A4"/>
    <s v="Comercial"/>
    <s v="Não se aplica"/>
    <s v="Não se aplica"/>
    <s v="Não se aplica"/>
    <s v="Ponta"/>
    <s v="CATIVO"/>
    <x v="10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29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0"/>
    <s v="PROJETADO"/>
    <s v="Verde"/>
    <s v="A4"/>
    <s v="Comercial"/>
    <s v="Não se aplica"/>
    <s v="Não se aplica"/>
    <s v="Não se aplica"/>
    <s v="Fora ponta"/>
    <s v="CATIVO"/>
    <x v="10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29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1"/>
    <s v="PROJETADO"/>
    <s v="Verde"/>
    <s v="A4"/>
    <s v="Comercial"/>
    <s v="Não se aplica"/>
    <s v="Não se aplica"/>
    <s v="Não se aplica"/>
    <s v="Não se aplica"/>
    <s v="CATIVO"/>
    <x v="10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29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72"/>
    <s v="PROJETADO"/>
    <s v="Branca"/>
    <s v="B3"/>
    <s v="Comercial"/>
    <s v="Não se aplica"/>
    <s v="Não se aplica"/>
    <s v="Não se aplica"/>
    <s v="Ponta"/>
    <s v="CATIVO"/>
    <x v="10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29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3"/>
    <s v="PROJETADO"/>
    <s v="Branca"/>
    <s v="B3"/>
    <s v="Comercial"/>
    <s v="Não se aplica"/>
    <s v="Não se aplica"/>
    <s v="Não se aplica"/>
    <s v="Fora ponta"/>
    <s v="CATIVO"/>
    <x v="10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29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4"/>
    <s v="PROJETAD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75"/>
    <s v="PROJETADO"/>
    <s v="Branca"/>
    <s v="B3"/>
    <s v="Comercial"/>
    <s v="Não se aplica"/>
    <s v="Não se aplica"/>
    <s v="Não se aplica"/>
    <s v="Intermediário"/>
    <s v="CATIVO"/>
    <x v="10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29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6"/>
    <s v="PROJETADO"/>
    <s v="Convencional"/>
    <s v="B2"/>
    <s v="Rural"/>
    <s v="Não se aplica"/>
    <s v="Não se aplica"/>
    <s v="Não se aplica"/>
    <s v="Não se aplica"/>
    <s v="CATIVO"/>
    <x v="10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29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7"/>
    <s v="PROJETADO"/>
    <s v="Convencional"/>
    <s v="B2"/>
    <s v="Rural"/>
    <s v="Não se aplica"/>
    <s v="Não se aplica"/>
    <s v="Não se aplica"/>
    <s v="Não se aplica"/>
    <s v="CATIVO"/>
    <x v="10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29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8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29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9"/>
    <s v="PROJETADO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29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0"/>
    <s v="PROJETADO"/>
    <s v="Convencional"/>
    <s v="B3"/>
    <s v="Serviço público"/>
    <s v="Água, esgoto e saneamento"/>
    <s v="Não se aplica"/>
    <s v="Não se aplica"/>
    <s v="Não se aplica"/>
    <s v="CATIVO"/>
    <x v="10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29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1"/>
    <s v="PROJETADO"/>
    <s v="Verde"/>
    <s v="A4"/>
    <s v="Serviço público"/>
    <s v="Água, esgoto e saneamento"/>
    <s v="Não se aplica"/>
    <s v="Não se aplica"/>
    <s v="Ponta"/>
    <s v="CATIVO"/>
    <x v="10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29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2"/>
    <s v="PROJETADO"/>
    <s v="Verde"/>
    <s v="A4"/>
    <s v="Serviço público"/>
    <s v="Água, esgoto e saneamento"/>
    <s v="Não se aplica"/>
    <s v="Não se aplica"/>
    <s v="Fora ponta"/>
    <s v="CATIVO"/>
    <x v="10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29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3"/>
    <s v="PROJETADO"/>
    <s v="Verde"/>
    <s v="A4"/>
    <s v="Serviço público"/>
    <s v="Água, esgoto e saneamento"/>
    <s v="Não se aplica"/>
    <s v="Não se aplica"/>
    <s v="Não se aplica"/>
    <s v="CATIVO"/>
    <x v="10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29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84"/>
    <s v="PROJETADO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29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5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86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29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7"/>
    <s v="PROJETADO"/>
    <s v="Convencional"/>
    <s v="B2"/>
    <s v="Rural"/>
    <s v="Agropecuária rural"/>
    <s v="IRRIG./AQUIC. PR"/>
    <s v="Não se aplica"/>
    <s v="Não se aplica"/>
    <s v="CATIVO"/>
    <x v="10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29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8"/>
    <s v="PROJETADO"/>
    <s v="Verde"/>
    <s v="A4"/>
    <s v="Rural"/>
    <s v="Agropecuária rural"/>
    <s v="Não se aplica"/>
    <s v="Não se aplica"/>
    <s v="Ponta"/>
    <s v="CATIVO"/>
    <x v="10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29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9"/>
    <s v="PROJETADO"/>
    <s v="Verde"/>
    <s v="A4"/>
    <s v="Rural"/>
    <s v="Agropecuária rural"/>
    <s v="Não se aplica"/>
    <s v="Não se aplica"/>
    <s v="Fora ponta"/>
    <s v="CATIVO"/>
    <x v="10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29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0"/>
    <s v="PROJETADO"/>
    <s v="Verde"/>
    <s v="A4"/>
    <s v="Rural"/>
    <s v="Agropecuária rural"/>
    <s v="Não se aplica"/>
    <s v="Não se aplica"/>
    <s v="Não se aplica"/>
    <s v="CATIVO"/>
    <x v="10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29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91"/>
    <s v="PROJETADO"/>
    <s v="Verde"/>
    <s v="A4"/>
    <s v="Rural"/>
    <s v="Agropecuária rural"/>
    <s v="IRRIG./AQUIC. PR"/>
    <s v="Não se aplica"/>
    <s v="Fora ponta"/>
    <s v="CATIVO"/>
    <x v="10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29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2"/>
    <s v="PROJETAD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93"/>
    <s v="PROJETADO"/>
    <s v="Convencional"/>
    <s v="B2"/>
    <s v="Rural"/>
    <s v="Aquicultura"/>
    <s v="IRRIG./AQUIC."/>
    <s v="Não se aplica"/>
    <s v="Não se aplica"/>
    <s v="CATIVO"/>
    <x v="10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29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4"/>
    <s v="PROJETADO"/>
    <s v="Convencional"/>
    <s v="B2"/>
    <s v="Rural"/>
    <s v="Aquicultura"/>
    <s v="IRRIG./AQUIC. PR"/>
    <s v="Não se aplica"/>
    <s v="Não se aplica"/>
    <s v="CATIVO"/>
    <x v="10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29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6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8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9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0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2"/>
    <s v="PROJETADO"/>
    <s v="Branca"/>
    <s v="B1"/>
    <s v="Residencial"/>
    <s v="Residencial"/>
    <s v="Não se aplica"/>
    <s v="Não se aplica"/>
    <s v="Fora ponta"/>
    <s v="CATIVO"/>
    <x v="1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3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04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5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6"/>
    <s v="PROJETADO"/>
    <s v="Verde"/>
    <s v="A4"/>
    <s v="Industrial"/>
    <s v="Não se aplica"/>
    <s v="Não se aplica"/>
    <s v="Não se aplica"/>
    <s v="Ponta"/>
    <s v="CATIVO"/>
    <x v="11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7"/>
    <s v="PROJETADO"/>
    <s v="Verde"/>
    <s v="A4"/>
    <s v="Industrial"/>
    <s v="Não se aplica"/>
    <s v="Não se aplica"/>
    <s v="Não se aplica"/>
    <s v="Fora ponta"/>
    <s v="CATIVO"/>
    <x v="11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8"/>
    <s v="PROJETADO"/>
    <s v="Verde"/>
    <s v="A4"/>
    <s v="Industrial"/>
    <s v="Não se aplica"/>
    <s v="Não se aplica"/>
    <s v="Não se aplica"/>
    <s v="Não se aplica"/>
    <s v="CATIVO"/>
    <x v="11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09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2"/>
    <s v="PROJETADO"/>
    <s v="Azul"/>
    <s v="A4"/>
    <s v="Comercial"/>
    <s v="Não se aplica"/>
    <s v="Não se aplica"/>
    <s v="Não se aplica"/>
    <s v="Ponta"/>
    <s v="CATIVO"/>
    <x v="11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3"/>
    <s v="PROJETADO"/>
    <s v="Azul"/>
    <s v="A4"/>
    <s v="Comercial"/>
    <s v="Não se aplica"/>
    <s v="Não se aplica"/>
    <s v="Não se aplica"/>
    <s v="Fora ponta"/>
    <s v="CATIVO"/>
    <x v="11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4"/>
    <s v="PROJETADO"/>
    <s v="Azul"/>
    <s v="A4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15"/>
    <s v="PROJETADO"/>
    <s v="Verde"/>
    <s v="A4"/>
    <s v="Comercial"/>
    <s v="Não se aplica"/>
    <s v="Não se aplica"/>
    <s v="Não se aplica"/>
    <s v="Ponta"/>
    <s v="CATIVO"/>
    <x v="11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6"/>
    <s v="PROJETADO"/>
    <s v="Verde"/>
    <s v="A4"/>
    <s v="Comercial"/>
    <s v="Não se aplica"/>
    <s v="Não se aplica"/>
    <s v="Não se aplica"/>
    <s v="Fora ponta"/>
    <s v="CATIVO"/>
    <x v="11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7"/>
    <s v="PROJETADO"/>
    <s v="Verde"/>
    <s v="A4"/>
    <s v="Comercial"/>
    <s v="Não se aplica"/>
    <s v="Não se aplica"/>
    <s v="Não se aplica"/>
    <s v="Não se aplica"/>
    <s v="CATIVO"/>
    <x v="11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18"/>
    <s v="PROJETADO"/>
    <s v="Branca"/>
    <s v="B3"/>
    <s v="Comercial"/>
    <s v="Não se aplica"/>
    <s v="Não se aplica"/>
    <s v="Não se aplica"/>
    <s v="Ponta"/>
    <s v="CATIVO"/>
    <x v="11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9"/>
    <s v="PROJETADO"/>
    <s v="Branca"/>
    <s v="B3"/>
    <s v="Comercial"/>
    <s v="Não se aplica"/>
    <s v="Não se aplica"/>
    <s v="Não se aplica"/>
    <s v="Fora ponta"/>
    <s v="CATIVO"/>
    <x v="11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1"/>
    <s v="PROJETADO"/>
    <s v="Branca"/>
    <s v="B3"/>
    <s v="Comercial"/>
    <s v="Não se aplica"/>
    <s v="Não se aplica"/>
    <s v="Não se aplica"/>
    <s v="Intermediário"/>
    <s v="CATIVO"/>
    <x v="11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2"/>
    <s v="PROJETADO"/>
    <s v="Convencional"/>
    <s v="B2"/>
    <s v="Rural"/>
    <s v="Não se aplica"/>
    <s v="Não se aplica"/>
    <s v="Não se aplica"/>
    <s v="Não se aplica"/>
    <s v="CATIVO"/>
    <x v="11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3"/>
    <s v="PROJETADO"/>
    <s v="Convencional"/>
    <s v="B2"/>
    <s v="Rural"/>
    <s v="Não se aplica"/>
    <s v="Não se aplica"/>
    <s v="Não se aplica"/>
    <s v="Não se aplica"/>
    <s v="CATIVO"/>
    <x v="11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5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7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8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9"/>
    <s v="PROJETADO"/>
    <s v="Verde"/>
    <s v="A4"/>
    <s v="Serviço público"/>
    <s v="Água, esgoto e saneamento"/>
    <s v="Não se aplica"/>
    <s v="Não se aplica"/>
    <s v="Não se aplica"/>
    <s v="CATIVO"/>
    <x v="1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0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1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2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3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4"/>
    <s v="PROJETADO"/>
    <s v="Verde"/>
    <s v="A4"/>
    <s v="Rural"/>
    <s v="Agropecuária rural"/>
    <s v="Não se aplica"/>
    <s v="Não se aplica"/>
    <s v="Ponta"/>
    <s v="CATIVO"/>
    <x v="11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5"/>
    <s v="PROJETADO"/>
    <s v="Verde"/>
    <s v="A4"/>
    <s v="Rural"/>
    <s v="Agropecuária rural"/>
    <s v="Não se aplica"/>
    <s v="Não se aplica"/>
    <s v="Fora ponta"/>
    <s v="CATIVO"/>
    <x v="11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6"/>
    <s v="PROJETADO"/>
    <s v="Verde"/>
    <s v="A4"/>
    <s v="Rural"/>
    <s v="Agropecuária rural"/>
    <s v="Não se aplica"/>
    <s v="Não se aplica"/>
    <s v="Não se aplica"/>
    <s v="CATIVO"/>
    <x v="11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7"/>
    <s v="PROJETADO"/>
    <s v="Verde"/>
    <s v="A4"/>
    <s v="Rural"/>
    <s v="Agropecuária rural"/>
    <s v="IRRIG./AQUIC. PR"/>
    <s v="Não se aplica"/>
    <s v="Fora ponta"/>
    <s v="CATIVO"/>
    <x v="11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8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9"/>
    <s v="PROJETADO"/>
    <s v="Convencional"/>
    <s v="B2"/>
    <s v="Rural"/>
    <s v="Aquicultura"/>
    <s v="IRRIG./AQUIC."/>
    <s v="Não se aplica"/>
    <s v="Não se aplica"/>
    <s v="CATIVO"/>
    <x v="11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0"/>
    <s v="PROJETADO"/>
    <s v="Convencional"/>
    <s v="B2"/>
    <s v="Rural"/>
    <s v="Aquicultura"/>
    <s v="IRRIG./AQUIC. PR"/>
    <s v="Não se aplica"/>
    <s v="Não se aplica"/>
    <s v="CATIVO"/>
    <x v="11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35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4" showAll="0">
      <items count="57">
        <item m="1" x="12"/>
        <item m="1" x="52"/>
        <item m="1" x="48"/>
        <item m="1" x="40"/>
        <item m="1" x="32"/>
        <item m="1" x="41"/>
        <item m="1" x="33"/>
        <item m="1" x="28"/>
        <item m="1" x="25"/>
        <item m="1" x="22"/>
        <item m="1" x="19"/>
        <item m="1" x="16"/>
        <item m="1" x="13"/>
        <item m="1" x="53"/>
        <item m="1" x="49"/>
        <item m="1" x="42"/>
        <item m="1" x="34"/>
        <item m="1" x="43"/>
        <item m="1" x="35"/>
        <item m="1" x="29"/>
        <item m="1" x="26"/>
        <item m="1" x="23"/>
        <item m="1" x="20"/>
        <item m="1" x="17"/>
        <item m="1" x="14"/>
        <item m="1" x="54"/>
        <item m="1" x="50"/>
        <item m="1" x="44"/>
        <item m="1" x="36"/>
        <item m="1" x="45"/>
        <item m="1" x="37"/>
        <item m="1" x="30"/>
        <item m="1" x="27"/>
        <item m="1" x="24"/>
        <item m="1" x="21"/>
        <item m="1" x="18"/>
        <item m="1" x="15"/>
        <item m="1" x="55"/>
        <item m="1" x="51"/>
        <item m="1" x="46"/>
        <item m="1" x="38"/>
        <item m="1" x="47"/>
        <item m="1" x="39"/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oma de TUSD_E" fld="13" baseField="0" baseItem="0" numFmtId="167"/>
  </dataFields>
  <formats count="4">
    <format dxfId="450">
      <pivotArea type="all" dataOnly="0" outline="0" fieldPosition="0"/>
    </format>
    <format dxfId="449">
      <pivotArea type="all" dataOnly="0" outline="0" fieldPosition="0"/>
    </format>
    <format dxfId="448">
      <pivotArea type="all" dataOnly="0" outline="0" fieldPosition="0"/>
    </format>
    <format dxfId="447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34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0" dataDxfId="599">
  <autoFilter ref="AA5:AE7" xr:uid="{B3DE7FE8-5926-4E44-9EDC-9655DE4A4B67}"/>
  <tableColumns count="5">
    <tableColumn id="1" xr3:uid="{1315B14B-5316-4DE2-9050-0B99168CC239}" name="Cotas" dataDxfId="598"/>
    <tableColumn id="2" xr3:uid="{00C64702-8D8C-4EE8-B854-0E39030818B6}" name="Valor da &quot;Cota&quot;" dataDxfId="597"/>
    <tableColumn id="3" xr3:uid="{63BFFE80-8EC9-4566-842F-9FD193C67815}" name="Ano" dataDxfId="596"/>
    <tableColumn id="4" xr3:uid="{7B5A7EF8-5CB6-4557-B7D2-1C4857462594}" name="Custo Médio da Cota" dataDxfId="595"/>
    <tableColumn id="5" xr3:uid="{D3F4B71D-C886-4718-A85E-FA54E9F8D838}" name="Energia MWh" dataDxfId="594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3" dataDxfId="592" headerRowCellStyle="Normal 5" dataCellStyle="Normal 5">
  <autoFilter ref="AA21:AG23" xr:uid="{8109BFC4-5B84-4531-A319-ED0D5E86A4C5}"/>
  <tableColumns count="7">
    <tableColumn id="1" xr3:uid="{59A03A63-2F04-4649-A4AF-9B891D5BEBED}" name="Leilão" dataDxfId="591" dataCellStyle="Normal 5"/>
    <tableColumn id="2" xr3:uid="{1B8E1FA7-1B1E-42CD-98A0-C36F374D9818}" name="Produto" dataDxfId="590" dataCellStyle="Normal 5"/>
    <tableColumn id="3" xr3:uid="{3C5EB2AC-0FA8-44FB-8B3B-4F205233DD96}" name="Modalidade" dataDxfId="589" dataCellStyle="Normal 5"/>
    <tableColumn id="4" xr3:uid="{C358BA83-832A-4936-8DD9-2979DA133039}" name="Fonte" dataDxfId="588" dataCellStyle="Normal 5"/>
    <tableColumn id="5" xr3:uid="{9CA52279-BDEC-44E2-A60F-C256B4A0590B}" name="Montante" dataDxfId="587" dataCellStyle="Normal 5"/>
    <tableColumn id="6" xr3:uid="{4C1D6705-AC4A-482B-AC5B-B0F755A722F2}" name="Data Base" dataDxfId="586" dataCellStyle="Vírgula"/>
    <tableColumn id="7" xr3:uid="{3DEA0CF9-631C-4B3F-B4AC-928E92F0AB84}" name="Custo Base" dataDxfId="585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4" dataDxfId="583">
  <autoFilter ref="AA10:AD11" xr:uid="{3C49DBE7-062C-4416-B6BA-09DB0F685AD5}"/>
  <tableColumns count="4">
    <tableColumn id="1" xr3:uid="{6F9C1B42-695A-4B8B-B63F-DA108D710421}" name="GSF previsto" dataDxfId="582" dataCellStyle="Normal 5"/>
    <tableColumn id="2" xr3:uid="{4D1DBAC9-9D60-4D51-A973-81AD2081E4F6}" name="PLD" dataDxfId="581" dataCellStyle="Normal 5"/>
    <tableColumn id="3" xr3:uid="{0DCF2C66-C111-4FF7-BEB4-BFD00E93A10A}" name="MWm repactuado" dataDxfId="580" dataCellStyle="Normal 5"/>
    <tableColumn id="4" xr3:uid="{030AED12-E9C5-474F-937C-742184A44EF8}" name="Fator de rateio" dataDxfId="579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8" dataDxfId="577">
  <autoFilter ref="AI5:AJ21" xr:uid="{C3573309-01D4-4FAA-88C4-46F0CAA1CC27}"/>
  <tableColumns count="2">
    <tableColumn id="1" xr3:uid="{56AC757E-E114-458B-A041-461374D0BA5F}" name="Data" dataDxfId="576"/>
    <tableColumn id="2" xr3:uid="{578DAC09-D952-4F72-9444-614F5761412A}" name="Valor Pis/Cofins Transmissora" dataDxfId="575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4"/>
    <tableColumn id="2" xr3:uid="{AAB31625-7790-4B9A-AC2F-62007C1AB8C0}" name="Valor" dataDxfId="573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2">
  <autoFilter ref="B70:D77" xr:uid="{2E07311B-F74E-449E-81FD-B2BBBED3E4B3}"/>
  <tableColumns count="3">
    <tableColumn id="1" xr3:uid="{34D06310-1B0F-4D68-8C00-ED68EED3BDEB}" name="Encargo" dataDxfId="571"/>
    <tableColumn id="2" xr3:uid="{9D37526B-68DA-4918-8BA1-31EFC93C676E}" name="Valor" dataDxfId="570" dataCellStyle="Vírgula"/>
    <tableColumn id="3" xr3:uid="{62B99FEA-2637-4880-B5A6-705D0DFDF64C}" name="DSP" dataDxfId="569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8">
  <autoFilter ref="AA15:AB16" xr:uid="{1246E986-5AFA-4E40-BCC4-649D094A68F9}"/>
  <tableColumns count="2">
    <tableColumn id="1" xr3:uid="{D4D96454-0BF2-4CE9-B9F7-0CF391A2F556}" name="Proinfa" dataDxfId="567"/>
    <tableColumn id="2" xr3:uid="{62B09719-28BC-4F30-8705-5FB3C24A0D07}" name="MWh" dataDxfId="566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5" dataDxfId="564">
  <autoFilter ref="AO5:AQ9" xr:uid="{1A968768-5E00-4725-815D-7B925098B780}"/>
  <tableColumns count="3">
    <tableColumn id="1" xr3:uid="{FC8C62E6-3A06-4479-B5D7-11BDBC46D611}" name="Conta Escassez" dataDxfId="563"/>
    <tableColumn id="2" xr3:uid="{55A5FC57-FA17-4C65-B2C8-0C51598692AE}" name="Valor" dataDxfId="562"/>
    <tableColumn id="3" xr3:uid="{C90C9243-AD2A-42D1-9D06-640F7A17A24B}" name="Legislacao" dataDxfId="561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0" dataDxfId="559">
  <autoFilter ref="AI24:AK45" xr:uid="{63306B16-ABC6-4C4A-8A31-BA4561D3E91F}"/>
  <tableColumns count="3">
    <tableColumn id="1" xr3:uid="{E80EBDF5-704B-4864-987B-30FABD11C257}" name="Grupo_TARIFA" dataDxfId="558"/>
    <tableColumn id="2" xr3:uid="{C48FAF4C-2500-4FE3-A576-CC56F4BB20F4}" name="Detalhe_Grupo_TARIFA" dataDxfId="557"/>
    <tableColumn id="3" xr3:uid="{C451D982-3266-4B86-86BB-DCF98A1C0BC5}" name="valor" dataDxfId="556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5" dataDxfId="554">
  <autoFilter ref="AM24:AP31" xr:uid="{5E07B889-3CC1-4EB8-A2FA-27865F10E9FF}"/>
  <tableColumns count="4">
    <tableColumn id="1" xr3:uid="{A684CBA1-85F2-4F6F-9549-132415395C97}" name="Grupo Tarifa" dataDxfId="553"/>
    <tableColumn id="2" xr3:uid="{601A6100-10DA-47B4-AC85-55E7B31A99AC}" name="Detalhe Grupo" dataDxfId="552"/>
    <tableColumn id="3" xr3:uid="{C6D6A904-43B1-4BB1-8721-FC3B084DEB3F}" name="Det3" dataDxfId="551"/>
    <tableColumn id="4" xr3:uid="{49E46CEE-1005-4E4F-AD52-B5C103AA28C0}" name="Valor" dataDxfId="550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49" tableBorderDxfId="548">
  <autoFilter ref="AA26:AB30" xr:uid="{ED60079D-08D5-46B4-B1E6-28428B2FF85A}"/>
  <tableColumns count="2">
    <tableColumn id="1" xr3:uid="{C7D3432F-090C-4D89-8F9B-66E323363124}" name="Dados de perda" dataDxfId="547"/>
    <tableColumn id="2" xr3:uid="{7924BC5A-340A-47DE-8986-F75E2F948A7A}" name="Valor" dataDxfId="546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5">
  <autoFilter ref="B82:D86" xr:uid="{44B3CF1D-E5DB-4F4C-8B03-12F73F64E09F}"/>
  <tableColumns count="3">
    <tableColumn id="1" xr3:uid="{025781DB-5DB9-44A5-BF05-031AE482F550}" name="DRA" dataDxfId="544"/>
    <tableColumn id="2" xr3:uid="{5A9C626F-119A-4714-A173-C779625402DE}" name="Unidade" dataDxfId="543" dataCellStyle="Vírgula"/>
    <tableColumn id="3" xr3:uid="{3DE8C72E-2AB2-473E-B78C-AE4693AB2163}" name="Valor" dataDxfId="542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1" dataDxfId="540">
  <autoFilter ref="I79:P104" xr:uid="{00012AA4-5E68-45F7-A3E1-82543506533D}"/>
  <tableColumns count="8">
    <tableColumn id="1" xr3:uid="{CB533B84-C59E-4772-B5EA-C3A64D272C46}" name="Supridora" dataDxfId="539"/>
    <tableColumn id="2" xr3:uid="{01FC6D90-98B5-4200-8478-0354078800DE}" name="idSupridora" dataDxfId="538"/>
    <tableColumn id="3" xr3:uid="{1AD87F94-F60A-4C08-92F4-8F28292229A0}" name="Dt" dataDxfId="537"/>
    <tableColumn id="4" xr3:uid="{214AC461-6B87-4473-9DDD-16C2AAD27583}" name="Nível" dataDxfId="536"/>
    <tableColumn id="5" xr3:uid="{4D0E8891-518A-49CD-81FD-28801C797CC5}" name="Tipo" dataDxfId="535"/>
    <tableColumn id="6" xr3:uid="{CA101188-3484-46F6-B45E-79104CE30EBE}" name="Posto_Tarifario" dataDxfId="534"/>
    <tableColumn id="7" xr3:uid="{AB8F41CD-F087-4472-BD97-B0D1F9D75CBE}" name="Tipo_de_Montante" dataDxfId="533"/>
    <tableColumn id="8" xr3:uid="{82EA2B27-2FF3-4A21-B9FA-826D7901DCE4}" name="Desconto" dataDxfId="532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1" dataDxfId="530">
  <autoFilter ref="I65:M74" xr:uid="{816D70F7-BC2B-4C29-B360-CF1B5CAA0898}"/>
  <tableColumns count="5">
    <tableColumn id="1" xr3:uid="{68FE60EB-F773-485E-AE07-DE02F7F2F7B9}" name="Supridora" dataDxfId="529"/>
    <tableColumn id="2" xr3:uid="{C4F33DA9-F36B-46DB-B8D6-89EC735D97B5}" name="idSupridora" dataDxfId="528"/>
    <tableColumn id="3" xr3:uid="{44B2DC68-70BA-4379-9E0C-9F47CD0F0208}" name="Dt" dataDxfId="527"/>
    <tableColumn id="4" xr3:uid="{C11C6BFB-95B2-4793-B12A-82B220365699}" name="Nível" dataDxfId="526"/>
    <tableColumn id="5" xr3:uid="{188E9A16-8CC7-42C8-9321-ACF10C037EBF}" name="Desconto" dataDxfId="525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4" dataDxfId="523">
  <autoFilter ref="AA34:AD46" xr:uid="{2861AC94-3090-4F96-AA62-69E2D7F316C7}"/>
  <tableColumns count="4">
    <tableColumn id="1" xr3:uid="{9AF0624E-5357-40A9-9061-2BE27666398F}" name="Data" dataDxfId="522"/>
    <tableColumn id="2" xr3:uid="{8C2160E5-CF7C-4BF1-AF2D-2A136C3FA7D6}" name="QT_TRC" dataDxfId="521"/>
    <tableColumn id="3" xr3:uid="{895C5BD6-9538-4B5D-B42D-A4F8F6C8819D}" name="QT_PERDAS_C" dataDxfId="520"/>
    <tableColumn id="4" xr3:uid="{04975CB5-D567-4912-B2E4-A65C9DF65AFD}" name="QT_PERDAS_DITC" dataDxfId="519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8" dataDxfId="517">
  <autoFilter ref="AA51:AB63" xr:uid="{448671BC-B4AC-4EB3-BA0E-8870BFDFFDA6}"/>
  <tableColumns count="2">
    <tableColumn id="1" xr3:uid="{E4D209A7-AA93-4BAA-B4BE-593CA56CE768}" name="Competencia" dataDxfId="516"/>
    <tableColumn id="2" xr3:uid="{B532ECCE-0095-40E1-A316-CF754CD1820A}" name="GeracaoPropria_kWh" dataDxfId="515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4" dataDxfId="513">
  <autoFilter ref="B103:D104" xr:uid="{BD18E973-C1F0-4BCA-A59F-74BE38699E89}"/>
  <tableColumns count="3">
    <tableColumn id="1" xr3:uid="{8CEB1E22-1DD3-4041-A7F8-48151A7A948D}" name="Limite_PB" dataDxfId="512" dataCellStyle="Vírgula"/>
    <tableColumn id="2" xr3:uid="{47B4F826-8D7E-41B4-A62A-9FCA24A444C4}" name="Data Base Limite_PB" dataDxfId="511"/>
    <tableColumn id="3" xr3:uid="{B2454C1A-D9A3-4F41-8958-B367EB249FB8}" name="Despacho" dataDxfId="510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09" dataDxfId="508">
  <autoFilter ref="B108:H109" xr:uid="{993A9B4B-EFAE-47B7-8F28-B400207AE359}"/>
  <tableColumns count="7">
    <tableColumn id="1" xr3:uid="{3C54FF0B-4E78-4809-B067-57A9A40F8EB2}" name="Supridora1" dataDxfId="507"/>
    <tableColumn id="2" xr3:uid="{90B2BE68-BDF0-4EC3-AFE2-35DB76A2C46E}" name="idsreagsupridora1" dataDxfId="506"/>
    <tableColumn id="3" xr3:uid="{9B64639C-58E0-466A-93CF-208DCC544EB5}" name="Densidade Cooperativa" dataDxfId="505"/>
    <tableColumn id="4" xr3:uid="{B6E4E105-6BD6-44F4-983E-785046CA7F5F}" name="Densidade Principal Supridora" dataDxfId="504"/>
    <tableColumn id="5" xr3:uid="{E3206071-9F16-4D6C-85FB-9305EFFBD0EC}" name="Subvencao Anual" dataDxfId="503" dataCellStyle="Vírgula"/>
    <tableColumn id="6" xr3:uid="{B1E60FB6-FFB4-40AD-84D3-B0B2D5BFCB82}" name="Data_Referencia Subvencao" dataDxfId="502"/>
    <tableColumn id="7" xr3:uid="{D67A9A6F-8227-4AFF-A96C-E1D007202229}" name="Data_aniversario supridora" dataDxfId="501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0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499"/>
    <tableColumn id="2" xr3:uid="{00000000-0010-0000-1600-000002000000}" name="NomPessoaSuprida" dataDxfId="498"/>
    <tableColumn id="3" xr3:uid="{00000000-0010-0000-1600-000003000000}" name="IdeAgenteSupridora" dataDxfId="497"/>
    <tableColumn id="4" xr3:uid="{00000000-0010-0000-1600-000004000000}" name="NomPessoaSupridora" dataDxfId="496"/>
    <tableColumn id="5" xr3:uid="{00000000-0010-0000-1600-000005000000}" name="DescSubGrupoSgt" dataDxfId="495"/>
    <tableColumn id="6" xr3:uid="{00000000-0010-0000-1600-000006000000}" name="MesAno"/>
    <tableColumn id="7" xr3:uid="{00000000-0010-0000-1600-000007000000}" name="Descricao" dataDxfId="494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3" dataDxfId="491" headerRowBorderDxfId="492" tableBorderDxfId="490">
  <autoFilter ref="A9:T61" xr:uid="{00000000-0009-0000-0100-00001A000000}"/>
  <tableColumns count="20">
    <tableColumn id="1" xr3:uid="{00000000-0010-0000-0000-000001000000}" name="Sigla" dataDxfId="489"/>
    <tableColumn id="2" xr3:uid="{00000000-0010-0000-0000-000002000000}" name="NomeSAMP" dataDxfId="488"/>
    <tableColumn id="3" xr3:uid="{00000000-0010-0000-0000-000003000000}" name="SARI" dataDxfId="487"/>
    <tableColumn id="4" xr3:uid="{00000000-0010-0000-0000-000004000000}" name="Área" dataDxfId="486"/>
    <tableColumn id="6" xr3:uid="{00000000-0010-0000-0000-000006000000}" name="Sede" dataDxfId="485"/>
    <tableColumn id="7" xr3:uid="{00000000-0010-0000-0000-000007000000}" name="UF" dataDxfId="484"/>
    <tableColumn id="5" xr3:uid="{F4C0AA0C-7AEF-4FC4-8FB7-D9142C5F1CBF}" name="Contrato Permissão" dataDxfId="483"/>
    <tableColumn id="11" xr3:uid="{2797FAEA-6354-4682-B35B-E763E9EEE6CE}" name="Data Contrato" dataDxfId="482"/>
    <tableColumn id="12" xr3:uid="{9C30CB17-746D-4563-BAFC-40BD6B7AD897}" name="Data de Aniversário" dataDxfId="481"/>
    <tableColumn id="8" xr3:uid="{00000000-0010-0000-0000-000008000000}" name="WACC ERD" dataDxfId="480"/>
    <tableColumn id="9" xr3:uid="{00000000-0010-0000-0000-000009000000}" name="Supridora 1" dataDxfId="479"/>
    <tableColumn id="33" xr3:uid="{00000000-0010-0000-0000-000021000000}" name="idsreagsupridora 1" dataDxfId="478"/>
    <tableColumn id="10" xr3:uid="{00000000-0010-0000-0000-00000A000000}" name="Supridora 2" dataDxfId="477"/>
    <tableColumn id="35" xr3:uid="{00000000-0010-0000-0000-000023000000}" name="idsreagsupridora2" dataDxfId="476"/>
    <tableColumn id="17" xr3:uid="{00000000-0010-0000-0000-000011000000}" name="Próxima Revisão" dataDxfId="475"/>
    <tableColumn id="23" xr3:uid="{00000000-0010-0000-0000-000017000000}" name="Geração Própria" dataDxfId="474"/>
    <tableColumn id="29" xr3:uid="{00000000-0010-0000-0000-00001D000000}" name="Data de referência da Geração Própria" dataDxfId="473"/>
    <tableColumn id="32" xr3:uid="{00000000-0010-0000-0000-000020000000}" name="Data original" dataDxfId="472"/>
    <tableColumn id="34" xr3:uid="{00000000-0010-0000-0000-000022000000}" name="Regularização" dataDxfId="471"/>
    <tableColumn id="37" xr3:uid="{00000000-0010-0000-0000-000025000000}" name="Inicio de vigência das tarifas" dataDxfId="470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69">
  <autoFilter ref="A68:N150" xr:uid="{00000000-0009-0000-0100-00001B000000}"/>
  <tableColumns count="14">
    <tableColumn id="1" xr3:uid="{00000000-0010-0000-0100-000001000000}" name="Permissionária" dataDxfId="468"/>
    <tableColumn id="2" xr3:uid="{00000000-0010-0000-0100-000002000000}" name="Supridora" dataDxfId="467"/>
    <tableColumn id="11" xr3:uid="{00000000-0010-0000-0100-00000B000000}" name="idsreag supridora" dataDxfId="466"/>
    <tableColumn id="13" xr3:uid="{00000000-0010-0000-0100-00000D000000}" name="codsariSUP" dataDxfId="465"/>
    <tableColumn id="3" xr3:uid="{00000000-0010-0000-0100-000003000000}" name="Classe" dataDxfId="464"/>
    <tableColumn id="12" xr3:uid="{00000000-0010-0000-0100-00000C000000}" name="chave" dataDxfId="463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2" dataCellStyle="Porcentagem"/>
    <tableColumn id="5" xr3:uid="{00000000-0010-0000-0100-000005000000}" name="2016" dataDxfId="461" dataCellStyle="Porcentagem"/>
    <tableColumn id="6" xr3:uid="{00000000-0010-0000-0100-000006000000}" name="2017" dataDxfId="460" dataCellStyle="Porcentagem"/>
    <tableColumn id="7" xr3:uid="{00000000-0010-0000-0100-000007000000}" name="2018" dataDxfId="459"/>
    <tableColumn id="8" xr3:uid="{00000000-0010-0000-0100-000008000000}" name="2019"/>
    <tableColumn id="9" xr3:uid="{00000000-0010-0000-0100-000009000000}" name="2020" dataDxfId="458"/>
    <tableColumn id="10" xr3:uid="{00000000-0010-0000-0100-00000A000000}" name="2021" dataDxfId="457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6"/>
    <tableColumn id="2" xr3:uid="{00000000-0010-0000-0200-000002000000}" name="Sigla" dataDxfId="455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4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3" dataDxfId="452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1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194" totalsRowShown="0" headerRowDxfId="446" dataDxfId="445" totalsRowDxfId="444">
  <autoFilter ref="A2:FI194" xr:uid="{00000000-0009-0000-0100-00000D000000}"/>
  <tableColumns count="165">
    <tableColumn id="1" xr3:uid="{00000000-0010-0000-1200-000001000000}" name="Código" dataDxfId="443" totalsRowDxfId="442"/>
    <tableColumn id="74" xr3:uid="{00000000-0010-0000-1200-00004A000000}" name="TipoMercado" dataDxfId="441" totalsRowDxfId="440"/>
    <tableColumn id="75" xr3:uid="{00000000-0010-0000-1200-00004B000000}" name="Modalidade" dataDxfId="439" totalsRowDxfId="438"/>
    <tableColumn id="76" xr3:uid="{00000000-0010-0000-1200-00004C000000}" name="Subgrupo" dataDxfId="437" totalsRowDxfId="436"/>
    <tableColumn id="77" xr3:uid="{00000000-0010-0000-1200-00004D000000}" name="Classe" dataDxfId="435" totalsRowDxfId="434"/>
    <tableColumn id="78" xr3:uid="{00000000-0010-0000-1200-00004E000000}" name="Subclasse" dataDxfId="433" totalsRowDxfId="432"/>
    <tableColumn id="79" xr3:uid="{00000000-0010-0000-1200-00004F000000}" name="Detalhe" dataDxfId="431" totalsRowDxfId="430"/>
    <tableColumn id="80" xr3:uid="{00000000-0010-0000-1200-000050000000}" name="Agente" dataDxfId="429" totalsRowDxfId="428"/>
    <tableColumn id="81" xr3:uid="{00000000-0010-0000-1200-000051000000}" name="Posto" dataDxfId="427" totalsRowDxfId="426"/>
    <tableColumn id="82" xr3:uid="{00000000-0010-0000-1200-000052000000}" name="OPÇÃO" dataDxfId="425" totalsRowDxfId="424"/>
    <tableColumn id="83" xr3:uid="{00000000-0010-0000-1200-000053000000}" name="AnoMes" dataDxfId="423" totalsRowDxfId="422"/>
    <tableColumn id="84" xr3:uid="{00000000-0010-0000-1200-000054000000}" name="D" dataDxfId="421" totalsRowDxfId="420"/>
    <tableColumn id="85" xr3:uid="{00000000-0010-0000-1200-000055000000}" name="Daj" dataDxfId="419" totalsRowDxfId="418"/>
    <tableColumn id="86" xr3:uid="{00000000-0010-0000-1200-000056000000}" name="TUSD_E" dataDxfId="417" totalsRowDxfId="416"/>
    <tableColumn id="87" xr3:uid="{00000000-0010-0000-1200-000057000000}" name="TUSD_Eaj" dataDxfId="415" totalsRowDxfId="414"/>
    <tableColumn id="88" xr3:uid="{00000000-0010-0000-1200-000058000000}" name="TE_E" dataDxfId="413" totalsRowDxfId="412"/>
    <tableColumn id="89" xr3:uid="{00000000-0010-0000-1200-000059000000}" name="TE_Eaj" dataDxfId="411" totalsRowDxfId="410"/>
    <tableColumn id="90" xr3:uid="{00000000-0010-0000-1200-00005A000000}" name="TUSD/KW" dataDxfId="409" totalsRowDxfId="408"/>
    <tableColumn id="91" xr3:uid="{00000000-0010-0000-1200-00005B000000}" name="TUSD/MWh" dataDxfId="407" totalsRowDxfId="406"/>
    <tableColumn id="92" xr3:uid="{00000000-0010-0000-1200-00005C000000}" name="TE" dataDxfId="405" totalsRowDxfId="404"/>
    <tableColumn id="93" xr3:uid="{00000000-0010-0000-1200-00005D000000}" name="ReceitaD" dataDxfId="403" totalsRowDxfId="402"/>
    <tableColumn id="94" xr3:uid="{00000000-0010-0000-1200-00005E000000}" name="ReceitaE" dataDxfId="401" totalsRowDxfId="400"/>
    <tableColumn id="95" xr3:uid="{00000000-0010-0000-1200-00005F000000}" name="Total" dataDxfId="399" totalsRowDxfId="398"/>
    <tableColumn id="96" xr3:uid="{00000000-0010-0000-1200-000060000000}" name="Total com Tar de aplicação" dataDxfId="397" totalsRowDxfId="396"/>
    <tableColumn id="97" xr3:uid="{00000000-0010-0000-1200-000061000000}" name="CCC" dataDxfId="395" totalsRowDxfId="394"/>
    <tableColumn id="98" xr3:uid="{00000000-0010-0000-1200-000062000000}" name="CDE" dataDxfId="393" totalsRowDxfId="392"/>
    <tableColumn id="99" xr3:uid="{00000000-0010-0000-1200-000063000000}" name="CFURH" dataDxfId="391" totalsRowDxfId="390"/>
    <tableColumn id="100" xr3:uid="{00000000-0010-0000-1200-000064000000}" name="Conexao_D" dataDxfId="389" totalsRowDxfId="388"/>
    <tableColumn id="101" xr3:uid="{00000000-0010-0000-1200-000065000000}" name="Conexao_T" dataDxfId="387" totalsRowDxfId="386"/>
    <tableColumn id="102" xr3:uid="{00000000-0010-0000-1200-000066000000}" name="CUSD" dataDxfId="385" totalsRowDxfId="384"/>
    <tableColumn id="103" xr3:uid="{00000000-0010-0000-1200-000067000000}" name="DISTRIBUICAO" dataDxfId="383" totalsRowDxfId="382"/>
    <tableColumn id="104" xr3:uid="{00000000-0010-0000-1200-000068000000}" name="EnergiaRevenda" dataDxfId="381" totalsRowDxfId="380"/>
    <tableColumn id="105" xr3:uid="{00000000-0010-0000-1200-000069000000}" name="ESSERR" dataDxfId="379" totalsRowDxfId="378"/>
    <tableColumn id="106" xr3:uid="{00000000-0010-0000-1200-00006A000000}" name="ITAIPU" dataDxfId="377" totalsRowDxfId="376"/>
    <tableColumn id="107" xr3:uid="{00000000-0010-0000-1200-00006B000000}" name="ONS" dataDxfId="375" totalsRowDxfId="374"/>
    <tableColumn id="108" xr3:uid="{00000000-0010-0000-1200-00006C000000}" name="OUTROS" dataDxfId="373" totalsRowDxfId="372"/>
    <tableColumn id="109" xr3:uid="{00000000-0010-0000-1200-00006D000000}" name="PeD" dataDxfId="371" totalsRowDxfId="370"/>
    <tableColumn id="110" xr3:uid="{00000000-0010-0000-1200-00006E000000}" name="PROINFA" dataDxfId="369" totalsRowDxfId="368"/>
    <tableColumn id="111" xr3:uid="{00000000-0010-0000-1200-00006F000000}" name="RGR" dataDxfId="367" totalsRowDxfId="366"/>
    <tableColumn id="112" xr3:uid="{00000000-0010-0000-1200-000070000000}" name="TFSEE" dataDxfId="365" totalsRowDxfId="364"/>
    <tableColumn id="113" xr3:uid="{00000000-0010-0000-1200-000071000000}" name="TUST_FR" dataDxfId="363" totalsRowDxfId="362"/>
    <tableColumn id="114" xr3:uid="{00000000-0010-0000-1200-000072000000}" name="TUST_RB" dataDxfId="361" totalsRowDxfId="360"/>
    <tableColumn id="115" xr3:uid="{00000000-0010-0000-1200-000073000000}" name="TUSDG_ONS" dataDxfId="359" totalsRowDxfId="358"/>
    <tableColumn id="116" xr3:uid="{00000000-0010-0000-1200-000074000000}" name="TUSDG_T" dataDxfId="357" totalsRowDxfId="356"/>
    <tableColumn id="117" xr3:uid="{00000000-0010-0000-1200-000075000000}" name="TUST_CI" dataDxfId="355" totalsRowDxfId="354"/>
    <tableColumn id="118" xr3:uid="{00000000-0010-0000-1200-000076000000}" name="TUST_ITAIPU" dataDxfId="353" totalsRowDxfId="352"/>
    <tableColumn id="119" xr3:uid="{00000000-0010-0000-1200-000077000000}" name="CVA_CCC" dataDxfId="351" totalsRowDxfId="350"/>
    <tableColumn id="120" xr3:uid="{00000000-0010-0000-1200-000078000000}" name="CVA_CDE" dataDxfId="349" totalsRowDxfId="348"/>
    <tableColumn id="121" xr3:uid="{00000000-0010-0000-1200-000079000000}" name="CVA_PROINFA" dataDxfId="347" totalsRowDxfId="346"/>
    <tableColumn id="122" xr3:uid="{00000000-0010-0000-1200-00007A000000}" name="CVA_TranItaipu" dataDxfId="345" totalsRowDxfId="344"/>
    <tableColumn id="123" xr3:uid="{00000000-0010-0000-1200-00007B000000}" name="CVA_ESSERR" dataDxfId="343" totalsRowDxfId="342"/>
    <tableColumn id="124" xr3:uid="{00000000-0010-0000-1200-00007C000000}" name="CVA_CFURH" dataDxfId="341" totalsRowDxfId="340"/>
    <tableColumn id="125" xr3:uid="{00000000-0010-0000-1200-00007D000000}" name="CVA_CDE_E" dataDxfId="339" totalsRowDxfId="338"/>
    <tableColumn id="126" xr3:uid="{00000000-0010-0000-1200-00007E000000}" name="CVA_Energia" dataDxfId="337" totalsRowDxfId="336"/>
    <tableColumn id="127" xr3:uid="{00000000-0010-0000-1200-00007F000000}" name="CVA_RB" dataDxfId="335" totalsRowDxfId="334"/>
    <tableColumn id="128" xr3:uid="{00000000-0010-0000-1200-000080000000}" name="perdasnt" dataDxfId="333" totalsRowDxfId="332"/>
    <tableColumn id="129" xr3:uid="{00000000-0010-0000-1200-000081000000}" name="perdasrb_d" dataDxfId="331" totalsRowDxfId="330"/>
    <tableColumn id="130" xr3:uid="{00000000-0010-0000-1200-000082000000}" name="perdasrb_c" dataDxfId="329" totalsRowDxfId="328"/>
    <tableColumn id="131" xr3:uid="{00000000-0010-0000-1200-000083000000}" name="perdastec" dataDxfId="327" totalsRowDxfId="326"/>
    <tableColumn id="132" xr3:uid="{00000000-0010-0000-1200-000084000000}" name="RI" dataDxfId="325" totalsRowDxfId="324"/>
    <tableColumn id="133" xr3:uid="{00000000-0010-0000-1200-000085000000}" name="PisPasep" dataDxfId="323" totalsRowDxfId="322"/>
    <tableColumn id="134" xr3:uid="{00000000-0010-0000-1200-000086000000}" name="Cofins" dataDxfId="321" totalsRowDxfId="320"/>
    <tableColumn id="135" xr3:uid="{00000000-0010-0000-1200-000087000000}" name="ICMS" dataDxfId="319" totalsRowDxfId="318"/>
    <tableColumn id="136" xr3:uid="{00000000-0010-0000-1200-000088000000}" name="UC" dataDxfId="317" totalsRowDxfId="316"/>
    <tableColumn id="137" xr3:uid="{00000000-0010-0000-1200-000089000000}" name="total_dummy" dataDxfId="315" totalsRowDxfId="314"/>
    <tableColumn id="138" xr3:uid="{00000000-0010-0000-1200-00008A000000}" name="Subs_CarFI" dataDxfId="313" totalsRowDxfId="312"/>
    <tableColumn id="139" xr3:uid="{00000000-0010-0000-1200-00008B000000}" name="Subs_GerFI" dataDxfId="311" totalsRowDxfId="310"/>
    <tableColumn id="140" xr3:uid="{00000000-0010-0000-1200-00008C000000}" name="Subs_Dist" dataDxfId="309" totalsRowDxfId="308"/>
    <tableColumn id="141" xr3:uid="{00000000-0010-0000-1200-00008D000000}" name="Subs_AguaEsgoto" dataDxfId="307" totalsRowDxfId="306"/>
    <tableColumn id="142" xr3:uid="{00000000-0010-0000-1200-00008E000000}" name="Subs_Rural" dataDxfId="305" totalsRowDxfId="304"/>
    <tableColumn id="143" xr3:uid="{00000000-0010-0000-1200-00008F000000}" name="Subs_Irrigante" dataDxfId="303" totalsRowDxfId="302"/>
    <tableColumn id="144" xr3:uid="{00000000-0010-0000-1200-000090000000}" name="Subs_BaixaRenda" dataDxfId="301" totalsRowDxfId="300"/>
    <tableColumn id="145" xr3:uid="{00000000-0010-0000-1200-000091000000}" name="CDE_E" dataDxfId="299" totalsRowDxfId="298"/>
    <tableColumn id="2" xr3:uid="{00000000-0010-0000-1200-000002000000}" name="DespesaEnergia" dataDxfId="297" totalsRowDxfId="296"/>
    <tableColumn id="3" xr3:uid="{00000000-0010-0000-1200-000003000000}" name="RTE_CUSD" dataDxfId="295" totalsRowDxfId="294"/>
    <tableColumn id="4" xr3:uid="{00000000-0010-0000-1200-000004000000}" name="RTE_Energia" dataDxfId="293" totalsRowDxfId="292"/>
    <tableColumn id="5" xr3:uid="{00000000-0010-0000-1200-000005000000}" name="RTE_CDE_USO" dataDxfId="291" totalsRowDxfId="290"/>
    <tableColumn id="6" xr3:uid="{00000000-0010-0000-1200-000006000000}" name="RTE_CDE_E" dataDxfId="289" totalsRowDxfId="288"/>
    <tableColumn id="7" xr3:uid="{00000000-0010-0000-1200-000007000000}" name="RTE_PeD" dataDxfId="287" totalsRowDxfId="286"/>
    <tableColumn id="8" xr3:uid="{00000000-0010-0000-1200-000008000000}" name="Dif_Subs_Car" dataDxfId="285" totalsRowDxfId="284"/>
    <tableColumn id="9" xr3:uid="{00000000-0010-0000-1200-000009000000}" name="Dif_Subs_Ger" dataDxfId="283" totalsRowDxfId="282"/>
    <tableColumn id="10" xr3:uid="{00000000-0010-0000-1200-00000A000000}" name="Dif_Subs_D" dataDxfId="281" totalsRowDxfId="280"/>
    <tableColumn id="11" xr3:uid="{00000000-0010-0000-1200-00000B000000}" name="Dif_Subs_Agua" dataDxfId="279" totalsRowDxfId="278"/>
    <tableColumn id="12" xr3:uid="{00000000-0010-0000-1200-00000C000000}" name="Dif_Subs_Ru" dataDxfId="277" totalsRowDxfId="276"/>
    <tableColumn id="13" xr3:uid="{00000000-0010-0000-1200-00000D000000}" name="Dif_Subs_Irr" dataDxfId="275" totalsRowDxfId="274"/>
    <tableColumn id="14" xr3:uid="{00000000-0010-0000-1200-00000E000000}" name="dif_subs_baixa" dataDxfId="273" totalsRowDxfId="272"/>
    <tableColumn id="15" xr3:uid="{00000000-0010-0000-1200-00000F000000}" name="FinTotAj" dataDxfId="271" totalsRowDxfId="270"/>
    <tableColumn id="16" xr3:uid="{00000000-0010-0000-1200-000010000000}" name="FinAj" dataDxfId="269" totalsRowDxfId="268"/>
    <tableColumn id="17" xr3:uid="{00000000-0010-0000-1200-000011000000}" name="RTE_CDE_E_Dec" dataDxfId="267" totalsRowDxfId="266"/>
    <tableColumn id="18" xr3:uid="{00000000-0010-0000-1200-000012000000}" name="RTE_CDE_E_ACR" dataDxfId="265" totalsRowDxfId="264"/>
    <tableColumn id="19" xr3:uid="{00000000-0010-0000-1200-000013000000}" name="CDE_E_Dec" dataDxfId="263" totalsRowDxfId="262"/>
    <tableColumn id="20" xr3:uid="{00000000-0010-0000-1200-000014000000}" name="CDE_E_ACR" dataDxfId="261" totalsRowDxfId="260"/>
    <tableColumn id="21" xr3:uid="{00000000-0010-0000-1200-000015000000}" name="FinPostTUSD" dataDxfId="259" totalsRowDxfId="258"/>
    <tableColumn id="22" xr3:uid="{00000000-0010-0000-1200-000016000000}" name="FinPostTE" dataDxfId="257" totalsRowDxfId="256"/>
    <tableColumn id="23" xr3:uid="{00000000-0010-0000-1200-000017000000}" name="FinPostQtddias" dataDxfId="255" totalsRowDxfId="254"/>
    <tableColumn id="24" xr3:uid="{00000000-0010-0000-1200-000018000000}" name="FinCT_Geral" dataDxfId="253" totalsRowDxfId="252"/>
    <tableColumn id="25" xr3:uid="{00000000-0010-0000-1200-000019000000}" name="finCT_TUST_FR" dataDxfId="251" totalsRowDxfId="250"/>
    <tableColumn id="26" xr3:uid="{00000000-0010-0000-1200-00001A000000}" name="finCT_TUST_RB" dataDxfId="249" totalsRowDxfId="248"/>
    <tableColumn id="27" xr3:uid="{00000000-0010-0000-1200-00001B000000}" name="FINCT_TUSDG_ONS" dataDxfId="247" totalsRowDxfId="246"/>
    <tableColumn id="28" xr3:uid="{00000000-0010-0000-1200-00001C000000}" name="FINCT_TUSDG_T" dataDxfId="245" totalsRowDxfId="244"/>
    <tableColumn id="29" xr3:uid="{00000000-0010-0000-1200-00001D000000}" name="FINCT_TUST_CI" dataDxfId="243" totalsRowDxfId="242"/>
    <tableColumn id="30" xr3:uid="{00000000-0010-0000-1200-00001E000000}" name="FINCT_TUST_ITAIPU" dataDxfId="241" totalsRowDxfId="240"/>
    <tableColumn id="31" xr3:uid="{00000000-0010-0000-1200-00001F000000}" name="FinCT_Itaipu" dataDxfId="239" totalsRowDxfId="238"/>
    <tableColumn id="32" xr3:uid="{00000000-0010-0000-1200-000020000000}" name="FinCT_CUSD" dataDxfId="237" totalsRowDxfId="236"/>
    <tableColumn id="33" xr3:uid="{00000000-0010-0000-1200-000021000000}" name="FinCT_Conexao_D" dataDxfId="235" totalsRowDxfId="234"/>
    <tableColumn id="34" xr3:uid="{00000000-0010-0000-1200-000022000000}" name="FinCT_Conexao_T" dataDxfId="233" totalsRowDxfId="232"/>
    <tableColumn id="35" xr3:uid="{00000000-0010-0000-1200-000023000000}" name="FinCT_EnergiaRevenda" dataDxfId="231" totalsRowDxfId="230"/>
    <tableColumn id="36" xr3:uid="{00000000-0010-0000-1200-000024000000}" name="FINCT_perdasrb_c" dataDxfId="229" totalsRowDxfId="228"/>
    <tableColumn id="37" xr3:uid="{00000000-0010-0000-1200-000025000000}" name="FINCT_perdasrb_d" dataDxfId="227" totalsRowDxfId="226"/>
    <tableColumn id="38" xr3:uid="{00000000-0010-0000-1200-000026000000}" name="FinCT_perdasnt" dataDxfId="225" totalsRowDxfId="224"/>
    <tableColumn id="39" xr3:uid="{00000000-0010-0000-1200-000027000000}" name="FinCT_perdastec" dataDxfId="223" totalsRowDxfId="222"/>
    <tableColumn id="40" xr3:uid="{00000000-0010-0000-1200-000028000000}" name="FinCT_CCC" dataDxfId="221" totalsRowDxfId="220"/>
    <tableColumn id="41" xr3:uid="{00000000-0010-0000-1200-000029000000}" name="FinCT_CDE" dataDxfId="219" totalsRowDxfId="218"/>
    <tableColumn id="42" xr3:uid="{00000000-0010-0000-1200-00002A000000}" name="FinCT_CDE_E" dataDxfId="217" totalsRowDxfId="216"/>
    <tableColumn id="43" xr3:uid="{00000000-0010-0000-1200-00002B000000}" name="FinCT_CFURH" dataDxfId="215" totalsRowDxfId="214"/>
    <tableColumn id="44" xr3:uid="{00000000-0010-0000-1200-00002C000000}" name="FinCT_ONS" dataDxfId="213" totalsRowDxfId="212"/>
    <tableColumn id="45" xr3:uid="{00000000-0010-0000-1200-00002D000000}" name="FinCT_ESSERR" dataDxfId="211" totalsRowDxfId="210"/>
    <tableColumn id="46" xr3:uid="{00000000-0010-0000-1200-00002E000000}" name="FinCT_Ped" dataDxfId="209" totalsRowDxfId="208"/>
    <tableColumn id="47" xr3:uid="{00000000-0010-0000-1200-00002F000000}" name="finCT_PROINFA" dataDxfId="207" totalsRowDxfId="206"/>
    <tableColumn id="48" xr3:uid="{00000000-0010-0000-1200-000030000000}" name="finCT_TFSEE" dataDxfId="205" totalsRowDxfId="204"/>
    <tableColumn id="49" xr3:uid="{00000000-0010-0000-1200-000031000000}" name="FINCT_Liminar" dataDxfId="203" totalsRowDxfId="202"/>
    <tableColumn id="50" xr3:uid="{00000000-0010-0000-1200-000032000000}" name="FinCT_Subsidio" dataDxfId="201" totalsRowDxfId="200"/>
    <tableColumn id="51" xr3:uid="{00000000-0010-0000-1200-000033000000}" name="FINCT_RGR" dataDxfId="199" totalsRowDxfId="198"/>
    <tableColumn id="52" xr3:uid="{00000000-0010-0000-1200-000034000000}" name="Tipo_ato" dataDxfId="197" totalsRowDxfId="196"/>
    <tableColumn id="53" xr3:uid="{00000000-0010-0000-1200-000035000000}" name="DIST_D" dataDxfId="195" totalsRowDxfId="194"/>
    <tableColumn id="54" xr3:uid="{00000000-0010-0000-1200-000036000000}" name="DIST_E" dataDxfId="193" totalsRowDxfId="192"/>
    <tableColumn id="55" xr3:uid="{00000000-0010-0000-1200-000037000000}" name="FIN_RI" dataDxfId="191" totalsRowDxfId="190"/>
    <tableColumn id="56" xr3:uid="{00000000-0010-0000-1200-000038000000}" name="FINCT_RI" dataDxfId="189" totalsRowDxfId="188"/>
    <tableColumn id="57" xr3:uid="{00000000-0010-0000-1200-000039000000}" name="Fin_TUSD" dataDxfId="187" totalsRowDxfId="186"/>
    <tableColumn id="58" xr3:uid="{00000000-0010-0000-1200-00003A000000}" name="Fin_TE" dataDxfId="185" totalsRowDxfId="184"/>
    <tableColumn id="59" xr3:uid="{00000000-0010-0000-1200-00003B000000}" name="CVA_TUSD" dataDxfId="183" totalsRowDxfId="182"/>
    <tableColumn id="60" xr3:uid="{00000000-0010-0000-1200-00003C000000}" name="CVA_TE" dataDxfId="181" totalsRowDxfId="180"/>
    <tableColumn id="61" xr3:uid="{00000000-0010-0000-1200-00003D000000}" name="FinCT_ParcelaB" dataDxfId="179" totalsRowDxfId="178"/>
    <tableColumn id="62" xr3:uid="{00000000-0010-0000-1200-00003E000000}" name="CVA_EnergiaRevenda" dataDxfId="177" totalsRowDxfId="176"/>
    <tableColumn id="63" xr3:uid="{00000000-0010-0000-1200-00003F000000}" name="CVA_perdasnt" dataDxfId="175" totalsRowDxfId="174"/>
    <tableColumn id="64" xr3:uid="{00000000-0010-0000-1200-000040000000}" name="CVA_perdasrb_d" dataDxfId="173" totalsRowDxfId="172"/>
    <tableColumn id="65" xr3:uid="{00000000-0010-0000-1200-000041000000}" name="CVA_perdasrb_c" dataDxfId="171" totalsRowDxfId="170"/>
    <tableColumn id="66" xr3:uid="{00000000-0010-0000-1200-000042000000}" name="CVA_perdastec" dataDxfId="169" totalsRowDxfId="168"/>
    <tableColumn id="67" xr3:uid="{00000000-0010-0000-1200-000043000000}" name="CVA_TUST_RB" dataDxfId="167" totalsRowDxfId="166"/>
    <tableColumn id="68" xr3:uid="{00000000-0010-0000-1200-000044000000}" name="CVA_TUST_FR" dataDxfId="165" totalsRowDxfId="164"/>
    <tableColumn id="69" xr3:uid="{00000000-0010-0000-1200-000045000000}" name="CVA_TUSDG_ONS" dataDxfId="163" totalsRowDxfId="162"/>
    <tableColumn id="70" xr3:uid="{00000000-0010-0000-1200-000046000000}" name="CVA_TUSDG_T" dataDxfId="161" totalsRowDxfId="160"/>
    <tableColumn id="71" xr3:uid="{FD269DC2-F12E-4BFC-8985-48C037DAEE3D}" name="CVA_TUST_CI" dataDxfId="159" totalsRowDxfId="158"/>
    <tableColumn id="72" xr3:uid="{2C34E4B3-7F07-4D64-9725-21233E09B2F8}" name="CVA_TUST_ITAIPU" dataDxfId="157" totalsRowDxfId="156"/>
    <tableColumn id="73" xr3:uid="{8FF1C04E-705B-4D43-8218-1D303ACBF1B4}" name="CVA_liminar" dataDxfId="155" totalsRowDxfId="154"/>
    <tableColumn id="146" xr3:uid="{A0539E69-57F8-49AD-B6ED-5CA0CA7D6897}" name="covidTusdEco" dataDxfId="153" totalsRowDxfId="152"/>
    <tableColumn id="147" xr3:uid="{412F0612-265D-4505-B4E2-63112B7EB7C9}" name="covidTeEco" dataDxfId="151" totalsRowDxfId="150"/>
    <tableColumn id="148" xr3:uid="{50DABFA8-FB5B-4872-BBA1-9BB3F56B96E2}" name="CVA_CovidTusd" dataDxfId="149" totalsRowDxfId="148"/>
    <tableColumn id="149" xr3:uid="{C64DE2C8-238E-48D0-AEEB-540EC8B5DBF4}" name="CVA_CovidTe_ou_CVA_CDE_E" dataDxfId="147" totalsRowDxfId="146"/>
    <tableColumn id="150" xr3:uid="{8D5DC1D4-E0A6-41B2-A2BB-26D2CA19EF4D}" name="FinCT_CDECOVIDTUSD" dataDxfId="145" totalsRowDxfId="144"/>
    <tableColumn id="151" xr3:uid="{D8258B5F-46FF-48E9-9CE8-9678AF6BD40F}" name="FinCT_CDECOVIDTE_ou_FinCT_CDE_E" dataDxfId="143" totalsRowDxfId="142"/>
    <tableColumn id="152" xr3:uid="{FA4B6803-ED14-4E9F-9237-11D021C62E1A}" name="idsreag" dataDxfId="141" totalsRowDxfId="140"/>
    <tableColumn id="153" xr3:uid="{6D0A4132-E9DF-49BA-93FC-314F55CD4E6C}" name="FinCTAn3En" dataDxfId="139" totalsRowDxfId="138"/>
    <tableColumn id="154" xr3:uid="{BCEBACD9-92B7-4C07-9349-0BF06725A083}" name="An3En" dataDxfId="137" totalsRowDxfId="136"/>
    <tableColumn id="155" xr3:uid="{E0739760-5FFA-460A-9B92-A98307BBEDBF}" name="CVA_An3En" dataDxfId="135" totalsRowDxfId="134"/>
    <tableColumn id="156" xr3:uid="{B6B0B208-D422-4A68-A0C8-E9FD52441D0C}" name="Fin_An3En" dataDxfId="133" totalsRowDxfId="132"/>
    <tableColumn id="157" xr3:uid="{7FDB53B5-00DC-4051-9BCD-5C44BCE1FE22}" name="FIN_CFURH" dataDxfId="131" totalsRowDxfId="130"/>
    <tableColumn id="158" xr3:uid="{234C3200-BA41-45F1-B762-23558F062AAD}" name="TEAngra" dataDxfId="129" totalsRowDxfId="128"/>
    <tableColumn id="159" xr3:uid="{4BBB7D5C-E9AD-4D0D-B22B-8576940F6A95}" name="TUSDAngra" dataDxfId="127" totalsRowDxfId="126"/>
    <tableColumn id="160" xr3:uid="{326F4D4F-8A5C-44D5-BA24-641AA39AE29E}" name="teCheia" dataDxfId="125" totalsRowDxfId="124"/>
    <tableColumn id="161" xr3:uid="{11C36C6C-88C1-412F-8622-2358DD383682}" name="tusdcheia" dataDxfId="123" totalsRowDxfId="122"/>
    <tableColumn id="162" xr3:uid="{14D370CA-1BC7-4B1B-93D5-6756E4EAFFCA}" name="AngraIII_TE" dataDxfId="121" totalsRowDxfId="120"/>
    <tableColumn id="163" xr3:uid="{C9000446-FA08-4BA9-A8BF-3E9F938C3AEE}" name="AngraIII_TUSD" dataDxfId="119" totalsRowDxfId="118"/>
    <tableColumn id="164" xr3:uid="{1E3DAD37-4778-41FB-BEFE-20A527048580}" name="AngraIII_Desc_TE" dataDxfId="117" totalsRowDxfId="116"/>
    <tableColumn id="165" xr3:uid="{6C19244C-C9FE-4DCB-ABD7-0AFB4C980B1D}" name="AngraIII_Desc_TUSD" dataDxfId="115" totalsRowDxfId="114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0" dataDxfId="109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8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7" dataDxfId="106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5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4" dataDxfId="103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2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1" dataDxfId="100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99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8" dataDxfId="97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6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5" dataDxfId="94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3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2" dataDxfId="90" headerRowBorderDxfId="91" tableBorderDxfId="89" totalsRowBorderDxfId="88" headerRowCellStyle="Normal 54 2" dataCellStyle="Normal 54 2">
  <autoFilter ref="AD139:AD143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87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6" dataDxfId="85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4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3" dataDxfId="82" headerRowCellStyle="Normal 54 2" dataCellStyle="Normal 54 2">
  <autoFilter ref="AO166:AP207" xr:uid="{00000000-0009-0000-0100-00000F000000}"/>
  <tableColumns count="2">
    <tableColumn id="1" xr3:uid="{00000000-0010-0000-0B00-000001000000}" name="1" dataDxfId="81" dataCellStyle="Normal 54 2">
      <calculatedColumnFormula>IF(AN167=0,0,1)</calculatedColumnFormula>
    </tableColumn>
    <tableColumn id="2" xr3:uid="{00000000-0010-0000-0B00-000002000000}" name="2" dataDxfId="80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79" dataDxfId="78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7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6" dataDxfId="75" tableBorderDxfId="74" headerRowCellStyle="Normal 54 2" dataCellStyle="Year 2 6">
  <autoFilter ref="BS310:BS317" xr:uid="{00000000-0009-0000-0100-000013000000}"/>
  <tableColumns count="1">
    <tableColumn id="1" xr3:uid="{00000000-0010-0000-0D00-000001000000}" name="Colunas1" dataDxfId="73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2" dataDxfId="70" headerRowBorderDxfId="71" tableBorderDxfId="69" totalsRowBorderDxfId="68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7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6" dataDxfId="65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4" dataCellStyle="Normal 54 2">
      <calculatedColumnFormula>IF(BU320=0,0,1)</calculatedColumnFormula>
    </tableColumn>
    <tableColumn id="2" xr3:uid="{00000000-0010-0000-0F00-000002000000}" name="Colunas2" dataDxfId="63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2" dataDxfId="60" headerRowBorderDxfId="61" tableBorderDxfId="59" totalsRowBorderDxfId="58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7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U1" zoomScaleNormal="100" workbookViewId="0">
      <selection activeCell="AD11" sqref="AD11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2" t="s">
        <v>12</v>
      </c>
      <c r="C1" s="933"/>
      <c r="D1" s="933"/>
      <c r="E1" s="934" t="s">
        <v>13</v>
      </c>
      <c r="F1" s="935">
        <f ca="1">LnkTXTIRTEco</f>
        <v>0.1164</v>
      </c>
    </row>
    <row r="2" spans="2:43" ht="28.5" customHeight="1">
      <c r="B2" s="136" t="str">
        <f>CAPA!C9</f>
        <v>Cersad</v>
      </c>
      <c r="C2" s="70"/>
      <c r="D2" s="70"/>
      <c r="E2" s="83" t="s">
        <v>14</v>
      </c>
      <c r="F2" s="84">
        <f ca="1">LnkTXTIRTTotal</f>
        <v>-0.14729999999999999</v>
      </c>
      <c r="M2" s="85"/>
      <c r="N2" s="86"/>
      <c r="AA2" s="847"/>
      <c r="AB2" s="909"/>
      <c r="AC2" s="847"/>
      <c r="AD2" s="847"/>
    </row>
    <row r="3" spans="2:43" ht="21" customHeight="1">
      <c r="B3" s="936" t="s">
        <v>15</v>
      </c>
      <c r="C3" s="785"/>
      <c r="I3" s="936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7" t="s">
        <v>17</v>
      </c>
      <c r="C5" s="938">
        <v>9791.4279999999999</v>
      </c>
      <c r="D5" s="1783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4" t="s">
        <v>27</v>
      </c>
      <c r="T5" s="480" t="s">
        <v>28</v>
      </c>
      <c r="U5" s="71" t="s">
        <v>29</v>
      </c>
      <c r="V5" s="784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2035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2059</v>
      </c>
      <c r="AP5" s="847" t="s">
        <v>37</v>
      </c>
      <c r="AQ5" s="847" t="s">
        <v>2060</v>
      </c>
    </row>
    <row r="6" spans="2:43" ht="16.5">
      <c r="B6" s="93"/>
      <c r="C6" s="88"/>
      <c r="D6" s="1784"/>
      <c r="E6" s="90"/>
      <c r="F6" s="72"/>
      <c r="G6" s="72"/>
      <c r="H6" s="68" t="str">
        <f>CONCATENATE(W6,J6,L6,O6)</f>
        <v>5697A4Não se aplicaEnergia</v>
      </c>
      <c r="I6" s="939">
        <v>2022</v>
      </c>
      <c r="J6" s="940" t="s">
        <v>533</v>
      </c>
      <c r="K6" s="940" t="s">
        <v>752</v>
      </c>
      <c r="L6" s="940" t="s">
        <v>1239</v>
      </c>
      <c r="M6" s="940" t="s">
        <v>409</v>
      </c>
      <c r="N6" s="940">
        <v>7883</v>
      </c>
      <c r="O6" s="940" t="s">
        <v>108</v>
      </c>
      <c r="P6" s="940" t="s">
        <v>753</v>
      </c>
      <c r="Q6" s="941">
        <v>44795</v>
      </c>
      <c r="R6" s="941">
        <v>44785</v>
      </c>
      <c r="S6" s="507" t="s">
        <v>2324</v>
      </c>
      <c r="T6" s="941" t="s">
        <v>2325</v>
      </c>
      <c r="U6" s="940">
        <v>12.06</v>
      </c>
      <c r="V6" s="940">
        <v>111</v>
      </c>
      <c r="W6" s="68">
        <f>VLOOKUP(V6,DescontosTE[[#All],[idsreag supridora]:[codsariSUP]],2,FALSE)</f>
        <v>5697</v>
      </c>
      <c r="AA6" s="848" t="s">
        <v>1145</v>
      </c>
      <c r="AB6" s="849">
        <v>2.8752419350268935E-5</v>
      </c>
      <c r="AC6" s="848">
        <v>2022</v>
      </c>
      <c r="AD6" s="848">
        <v>349.15</v>
      </c>
      <c r="AE6" s="848">
        <v>384.6532476399376</v>
      </c>
      <c r="AI6" s="895"/>
      <c r="AJ6" s="896"/>
      <c r="AL6" s="898" t="s">
        <v>2347</v>
      </c>
      <c r="AM6" s="899">
        <v>0</v>
      </c>
      <c r="AO6" s="1463" t="s">
        <v>2073</v>
      </c>
      <c r="AP6" s="1464">
        <v>0</v>
      </c>
      <c r="AQ6" s="1464"/>
    </row>
    <row r="7" spans="2:43" ht="16.5">
      <c r="B7" s="942" t="s">
        <v>38</v>
      </c>
      <c r="C7" s="943">
        <v>0</v>
      </c>
      <c r="D7" s="1784"/>
      <c r="E7" s="72"/>
      <c r="F7" s="72"/>
      <c r="G7" s="72"/>
      <c r="H7" s="68" t="str">
        <f t="shared" ref="H7:H30" si="0">CONCATENATE(W7,J7,L7,O7)</f>
        <v>5697A4PontaPotência</v>
      </c>
      <c r="I7" s="505">
        <v>2022</v>
      </c>
      <c r="J7" s="506" t="s">
        <v>533</v>
      </c>
      <c r="K7" s="506" t="s">
        <v>752</v>
      </c>
      <c r="L7" s="506" t="s">
        <v>893</v>
      </c>
      <c r="M7" s="506" t="s">
        <v>409</v>
      </c>
      <c r="N7" s="506">
        <v>7883</v>
      </c>
      <c r="O7" s="506" t="s">
        <v>1238</v>
      </c>
      <c r="P7" s="506" t="s">
        <v>753</v>
      </c>
      <c r="Q7" s="507">
        <v>44795</v>
      </c>
      <c r="R7" s="507">
        <v>44785</v>
      </c>
      <c r="S7" s="507" t="s">
        <v>2324</v>
      </c>
      <c r="T7" s="507" t="s">
        <v>2325</v>
      </c>
      <c r="U7" s="506">
        <v>24.15</v>
      </c>
      <c r="V7" s="506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2348</v>
      </c>
      <c r="AM7" s="899">
        <v>0</v>
      </c>
      <c r="AO7" s="1463" t="s">
        <v>2074</v>
      </c>
      <c r="AP7" s="1464">
        <v>-43253.58</v>
      </c>
      <c r="AQ7" s="1464"/>
    </row>
    <row r="8" spans="2:43" ht="16.5">
      <c r="B8" s="93" t="s">
        <v>39</v>
      </c>
      <c r="C8" s="119">
        <v>0</v>
      </c>
      <c r="D8" s="1784"/>
      <c r="E8" s="72"/>
      <c r="F8" s="72"/>
      <c r="G8" s="72"/>
      <c r="H8" s="68" t="str">
        <f t="shared" si="0"/>
        <v>5697A4Fora pontaPotência</v>
      </c>
      <c r="I8" s="505">
        <v>2022</v>
      </c>
      <c r="J8" s="506" t="s">
        <v>533</v>
      </c>
      <c r="K8" s="506" t="s">
        <v>752</v>
      </c>
      <c r="L8" s="506" t="s">
        <v>2326</v>
      </c>
      <c r="M8" s="506" t="s">
        <v>409</v>
      </c>
      <c r="N8" s="506">
        <v>7883</v>
      </c>
      <c r="O8" s="506" t="s">
        <v>1238</v>
      </c>
      <c r="P8" s="506" t="s">
        <v>753</v>
      </c>
      <c r="Q8" s="507">
        <v>44795</v>
      </c>
      <c r="R8" s="507">
        <v>44785</v>
      </c>
      <c r="S8" s="507" t="s">
        <v>2324</v>
      </c>
      <c r="T8" s="507" t="s">
        <v>2325</v>
      </c>
      <c r="U8" s="506">
        <v>13.88</v>
      </c>
      <c r="V8" s="506">
        <v>111</v>
      </c>
      <c r="W8" s="68">
        <f>VLOOKUP(V8,DescontosTE[[#All],[idsreag supridora]:[codsariSUP]],2,FALSE)</f>
        <v>5697</v>
      </c>
      <c r="AI8" s="895"/>
      <c r="AJ8" s="896"/>
      <c r="AL8" s="898" t="s">
        <v>2349</v>
      </c>
      <c r="AM8" s="899">
        <v>0</v>
      </c>
      <c r="AO8" s="1463" t="s">
        <v>2075</v>
      </c>
      <c r="AP8" s="1464">
        <f>-157420.79*0</f>
        <v>0</v>
      </c>
      <c r="AQ8" s="1464"/>
    </row>
    <row r="9" spans="2:43" ht="16.5">
      <c r="B9" s="93" t="s">
        <v>40</v>
      </c>
      <c r="C9" s="119">
        <v>8037.3679947307901</v>
      </c>
      <c r="D9" s="1784"/>
      <c r="E9" s="72"/>
      <c r="F9" s="72"/>
      <c r="G9" s="72"/>
      <c r="H9" s="68" t="e">
        <f t="shared" si="0"/>
        <v>#N/A</v>
      </c>
      <c r="I9" s="505"/>
      <c r="J9" s="506"/>
      <c r="K9" s="506"/>
      <c r="L9" s="506"/>
      <c r="M9" s="506"/>
      <c r="N9" s="506"/>
      <c r="O9" s="506"/>
      <c r="P9" s="506"/>
      <c r="Q9" s="507"/>
      <c r="R9" s="507"/>
      <c r="S9" s="507"/>
      <c r="T9" s="507"/>
      <c r="U9" s="506"/>
      <c r="V9" s="506"/>
      <c r="W9" s="68" t="e">
        <f>VLOOKUP(V9,DescontosTE[[#All],[idsreag supridora]:[codsariSUP]],2,FALSE)</f>
        <v>#N/A</v>
      </c>
      <c r="AI9" s="895"/>
      <c r="AJ9" s="896"/>
      <c r="AL9" s="898" t="s">
        <v>2350</v>
      </c>
      <c r="AM9" s="899"/>
      <c r="AO9" s="1463"/>
      <c r="AP9" s="1464"/>
      <c r="AQ9" s="1464" t="s">
        <v>2076</v>
      </c>
    </row>
    <row r="10" spans="2:43" ht="16.5">
      <c r="B10" s="93" t="s">
        <v>41</v>
      </c>
      <c r="C10" s="119">
        <v>548452.22745999997</v>
      </c>
      <c r="D10" s="1784"/>
      <c r="H10" s="68" t="e">
        <f t="shared" si="0"/>
        <v>#N/A</v>
      </c>
      <c r="I10" s="505"/>
      <c r="J10" s="506"/>
      <c r="K10" s="506"/>
      <c r="L10" s="506"/>
      <c r="M10" s="506"/>
      <c r="N10" s="506"/>
      <c r="O10" s="506"/>
      <c r="P10" s="506"/>
      <c r="Q10" s="507"/>
      <c r="R10" s="507"/>
      <c r="S10" s="507"/>
      <c r="T10" s="507"/>
      <c r="U10" s="506"/>
      <c r="V10" s="506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2351</v>
      </c>
      <c r="AM10" s="899">
        <v>0</v>
      </c>
    </row>
    <row r="11" spans="2:43" ht="16.5">
      <c r="B11" s="93" t="s">
        <v>46</v>
      </c>
      <c r="C11" s="119">
        <v>48696.035253333299</v>
      </c>
      <c r="D11" s="1784"/>
      <c r="H11" s="68" t="e">
        <f t="shared" si="0"/>
        <v>#N/A</v>
      </c>
      <c r="I11" s="505"/>
      <c r="J11" s="506"/>
      <c r="K11" s="506"/>
      <c r="L11" s="506"/>
      <c r="M11" s="506"/>
      <c r="N11" s="506"/>
      <c r="O11" s="506"/>
      <c r="P11" s="506"/>
      <c r="Q11" s="507"/>
      <c r="R11" s="507"/>
      <c r="S11" s="507"/>
      <c r="T11" s="507"/>
      <c r="U11" s="506"/>
      <c r="V11" s="506"/>
      <c r="W11" s="68" t="e">
        <f>VLOOKUP(V11,DescontosTE[[#All],[idsreag supridora]:[codsariSUP]],2,FALSE)</f>
        <v>#N/A</v>
      </c>
      <c r="AA11" s="848">
        <v>0.87029999999999996</v>
      </c>
      <c r="AB11" s="849">
        <v>195.04</v>
      </c>
      <c r="AC11" s="848">
        <v>14739.74</v>
      </c>
      <c r="AD11" s="848">
        <v>2.8608399999999999E-5</v>
      </c>
      <c r="AI11" s="895"/>
      <c r="AJ11" s="896"/>
      <c r="AL11" s="898" t="s">
        <v>2352</v>
      </c>
      <c r="AM11" s="899">
        <v>0</v>
      </c>
    </row>
    <row r="12" spans="2:43" ht="16.5">
      <c r="B12" s="93" t="s">
        <v>47</v>
      </c>
      <c r="C12" s="119">
        <v>91196.65668</v>
      </c>
      <c r="D12" s="1784"/>
      <c r="H12" s="68" t="e">
        <f t="shared" si="0"/>
        <v>#N/A</v>
      </c>
      <c r="I12" s="505"/>
      <c r="J12" s="506"/>
      <c r="K12" s="506"/>
      <c r="L12" s="506"/>
      <c r="M12" s="506"/>
      <c r="N12" s="506"/>
      <c r="O12" s="506"/>
      <c r="P12" s="506"/>
      <c r="Q12" s="507"/>
      <c r="R12" s="507"/>
      <c r="S12" s="507"/>
      <c r="T12" s="507"/>
      <c r="U12" s="506"/>
      <c r="V12" s="506"/>
      <c r="W12" s="68" t="e">
        <f>VLOOKUP(V12,DescontosTE[[#All],[idsreag supridora]:[codsariSUP]],2,FALSE)</f>
        <v>#N/A</v>
      </c>
      <c r="AI12" s="895"/>
      <c r="AJ12" s="896"/>
      <c r="AL12" s="898" t="s">
        <v>2353</v>
      </c>
      <c r="AM12" s="899">
        <v>0</v>
      </c>
    </row>
    <row r="13" spans="2:43" ht="16.5">
      <c r="B13" s="93" t="s">
        <v>48</v>
      </c>
      <c r="C13" s="119">
        <v>0</v>
      </c>
      <c r="D13" s="1784"/>
      <c r="H13" s="68" t="e">
        <f t="shared" si="0"/>
        <v>#N/A</v>
      </c>
      <c r="I13" s="505"/>
      <c r="J13" s="506"/>
      <c r="K13" s="506"/>
      <c r="L13" s="506"/>
      <c r="M13" s="506"/>
      <c r="N13" s="506"/>
      <c r="O13" s="506"/>
      <c r="P13" s="506"/>
      <c r="Q13" s="507"/>
      <c r="R13" s="507"/>
      <c r="S13" s="507"/>
      <c r="T13" s="507"/>
      <c r="U13" s="506"/>
      <c r="V13" s="506"/>
      <c r="W13" s="68" t="e">
        <f>VLOOKUP(V13,DescontosTE[[#All],[idsreag supridora]:[codsariSUP]],2,FALSE)</f>
        <v>#N/A</v>
      </c>
      <c r="AI13" s="895"/>
      <c r="AJ13" s="896"/>
      <c r="AL13" s="898" t="s">
        <v>2354</v>
      </c>
      <c r="AM13" s="899">
        <v>0</v>
      </c>
    </row>
    <row r="14" spans="2:43" ht="16.5">
      <c r="B14" s="93" t="s">
        <v>49</v>
      </c>
      <c r="C14" s="119">
        <v>0</v>
      </c>
      <c r="D14" s="1784"/>
      <c r="H14" s="68" t="e">
        <f t="shared" si="0"/>
        <v>#N/A</v>
      </c>
      <c r="I14" s="505"/>
      <c r="J14" s="506"/>
      <c r="K14" s="506"/>
      <c r="L14" s="506"/>
      <c r="M14" s="506"/>
      <c r="N14" s="506"/>
      <c r="O14" s="506"/>
      <c r="P14" s="506"/>
      <c r="Q14" s="507"/>
      <c r="R14" s="507"/>
      <c r="S14" s="507"/>
      <c r="T14" s="507"/>
      <c r="U14" s="506"/>
      <c r="V14" s="506"/>
      <c r="W14" s="68" t="e">
        <f>VLOOKUP(V14,DescontosTE[[#All],[idsreag supridora]:[codsariSUP]],2,FALSE)</f>
        <v>#N/A</v>
      </c>
      <c r="AA14" s="797"/>
      <c r="AB14" s="797"/>
      <c r="AC14" s="797"/>
      <c r="AI14" s="895"/>
      <c r="AJ14" s="896"/>
      <c r="AL14" s="898" t="s">
        <v>2355</v>
      </c>
      <c r="AM14" s="899">
        <v>0</v>
      </c>
    </row>
    <row r="15" spans="2:43" ht="16.5">
      <c r="B15" s="944" t="s">
        <v>2036</v>
      </c>
      <c r="C15" s="945">
        <v>0</v>
      </c>
      <c r="D15" s="1784"/>
      <c r="F15" s="92"/>
      <c r="H15" s="68" t="e">
        <f t="shared" si="0"/>
        <v>#N/A</v>
      </c>
      <c r="I15" s="505"/>
      <c r="J15" s="506"/>
      <c r="K15" s="506"/>
      <c r="L15" s="506"/>
      <c r="M15" s="506"/>
      <c r="N15" s="506"/>
      <c r="O15" s="506"/>
      <c r="P15" s="506"/>
      <c r="Q15" s="507"/>
      <c r="R15" s="507"/>
      <c r="S15" s="507"/>
      <c r="T15" s="507"/>
      <c r="U15" s="506"/>
      <c r="V15" s="506"/>
      <c r="W15" s="68" t="e">
        <f>VLOOKUP(V15,DescontosTE[[#All],[idsreag supridora]:[codsariSUP]],2,FALSE)</f>
        <v>#N/A</v>
      </c>
      <c r="AA15" s="901" t="s">
        <v>109</v>
      </c>
      <c r="AB15" s="901" t="s">
        <v>898</v>
      </c>
      <c r="AC15" s="797"/>
      <c r="AI15" s="895"/>
      <c r="AJ15" s="896"/>
      <c r="AL15" s="898"/>
      <c r="AM15" s="899"/>
    </row>
    <row r="16" spans="2:43" ht="16.5">
      <c r="D16" s="1784"/>
      <c r="F16" s="92"/>
      <c r="H16" s="68" t="e">
        <f t="shared" si="0"/>
        <v>#N/A</v>
      </c>
      <c r="I16" s="505"/>
      <c r="J16" s="506"/>
      <c r="K16" s="506"/>
      <c r="L16" s="506"/>
      <c r="M16" s="506"/>
      <c r="N16" s="506"/>
      <c r="O16" s="506"/>
      <c r="P16" s="506"/>
      <c r="Q16" s="507"/>
      <c r="R16" s="507"/>
      <c r="S16" s="507"/>
      <c r="T16" s="507"/>
      <c r="U16" s="506"/>
      <c r="V16" s="506"/>
      <c r="W16" s="68" t="e">
        <f>VLOOKUP(V16,DescontosTE[[#All],[idsreag supridora]:[codsariSUP]],2,FALSE)</f>
        <v>#N/A</v>
      </c>
      <c r="AA16" s="848">
        <v>2022</v>
      </c>
      <c r="AB16" s="849">
        <v>170.85448258501719</v>
      </c>
      <c r="AC16" s="847"/>
      <c r="AI16" s="895"/>
      <c r="AJ16" s="896"/>
      <c r="AL16" s="898"/>
      <c r="AM16" s="899"/>
    </row>
    <row r="17" spans="2:42" ht="16.5">
      <c r="B17" s="937" t="s">
        <v>50</v>
      </c>
      <c r="C17" s="946"/>
      <c r="D17" s="1784"/>
      <c r="F17" s="92"/>
      <c r="H17" s="68" t="e">
        <f t="shared" si="0"/>
        <v>#N/A</v>
      </c>
      <c r="I17" s="505"/>
      <c r="J17" s="506"/>
      <c r="K17" s="506"/>
      <c r="L17" s="506"/>
      <c r="M17" s="506"/>
      <c r="N17" s="506"/>
      <c r="O17" s="506"/>
      <c r="P17" s="506"/>
      <c r="Q17" s="507"/>
      <c r="R17" s="507"/>
      <c r="S17" s="507"/>
      <c r="T17" s="507"/>
      <c r="U17" s="506"/>
      <c r="V17" s="506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84"/>
      <c r="F18" s="92"/>
      <c r="H18" s="68" t="e">
        <f t="shared" si="0"/>
        <v>#N/A</v>
      </c>
      <c r="I18" s="505"/>
      <c r="J18" s="506"/>
      <c r="K18" s="506"/>
      <c r="L18" s="506"/>
      <c r="M18" s="506"/>
      <c r="N18" s="506"/>
      <c r="O18" s="506"/>
      <c r="P18" s="506"/>
      <c r="Q18" s="507"/>
      <c r="R18" s="507"/>
      <c r="S18" s="507"/>
      <c r="T18" s="507"/>
      <c r="U18" s="506"/>
      <c r="V18" s="506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84"/>
      <c r="F19" s="92"/>
      <c r="H19" s="68" t="e">
        <f t="shared" si="0"/>
        <v>#N/A</v>
      </c>
      <c r="I19" s="505"/>
      <c r="J19" s="506"/>
      <c r="K19" s="506"/>
      <c r="L19" s="506"/>
      <c r="M19" s="506"/>
      <c r="N19" s="506"/>
      <c r="O19" s="506"/>
      <c r="P19" s="506"/>
      <c r="Q19" s="507"/>
      <c r="R19" s="507"/>
      <c r="S19" s="507"/>
      <c r="T19" s="507"/>
      <c r="U19" s="506"/>
      <c r="V19" s="506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84"/>
      <c r="F20" s="92"/>
      <c r="H20" s="68" t="e">
        <f t="shared" si="0"/>
        <v>#N/A</v>
      </c>
      <c r="I20" s="505"/>
      <c r="J20" s="506"/>
      <c r="K20" s="506"/>
      <c r="L20" s="506"/>
      <c r="M20" s="506"/>
      <c r="N20" s="506"/>
      <c r="O20" s="506"/>
      <c r="P20" s="506"/>
      <c r="Q20" s="507"/>
      <c r="R20" s="507"/>
      <c r="S20" s="507"/>
      <c r="T20" s="507"/>
      <c r="U20" s="506"/>
      <c r="V20" s="506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84"/>
      <c r="F21" s="92"/>
      <c r="H21" s="68" t="e">
        <f t="shared" si="0"/>
        <v>#N/A</v>
      </c>
      <c r="I21" s="505"/>
      <c r="J21" s="506"/>
      <c r="K21" s="506"/>
      <c r="L21" s="506"/>
      <c r="M21" s="506"/>
      <c r="N21" s="506"/>
      <c r="O21" s="506"/>
      <c r="P21" s="506"/>
      <c r="Q21" s="507"/>
      <c r="R21" s="507"/>
      <c r="S21" s="507"/>
      <c r="T21" s="507"/>
      <c r="U21" s="506"/>
      <c r="V21" s="506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4"/>
      <c r="H22" s="68" t="e">
        <f t="shared" si="0"/>
        <v>#N/A</v>
      </c>
      <c r="I22" s="505"/>
      <c r="J22" s="506"/>
      <c r="K22" s="506"/>
      <c r="L22" s="506"/>
      <c r="M22" s="506"/>
      <c r="N22" s="506"/>
      <c r="O22" s="506"/>
      <c r="P22" s="506"/>
      <c r="Q22" s="507"/>
      <c r="R22" s="507"/>
      <c r="S22" s="507"/>
      <c r="T22" s="507"/>
      <c r="U22" s="506"/>
      <c r="V22" s="506"/>
      <c r="W22" s="68" t="e">
        <f>VLOOKUP(V22,DescontosTE[[#All],[idsreag supridora]:[codsariSUP]],2,FALSE)</f>
        <v>#N/A</v>
      </c>
      <c r="AA22" s="848" t="s">
        <v>1146</v>
      </c>
      <c r="AB22" s="849"/>
      <c r="AC22" s="848"/>
      <c r="AD22" s="848"/>
      <c r="AE22" s="849">
        <v>834.38200231631004</v>
      </c>
      <c r="AF22" s="854">
        <v>44774</v>
      </c>
      <c r="AG22" s="848">
        <v>136.09082703184501</v>
      </c>
    </row>
    <row r="23" spans="2:42" ht="16.5">
      <c r="B23" s="93" t="s">
        <v>64</v>
      </c>
      <c r="C23" s="119"/>
      <c r="D23" s="1784"/>
      <c r="F23" s="92"/>
      <c r="H23" s="68" t="e">
        <f t="shared" si="0"/>
        <v>#N/A</v>
      </c>
      <c r="I23" s="505"/>
      <c r="J23" s="506"/>
      <c r="K23" s="506"/>
      <c r="L23" s="506"/>
      <c r="M23" s="506"/>
      <c r="N23" s="506"/>
      <c r="O23" s="506"/>
      <c r="P23" s="506"/>
      <c r="Q23" s="507"/>
      <c r="R23" s="507"/>
      <c r="S23" s="507"/>
      <c r="T23" s="507"/>
      <c r="U23" s="506"/>
      <c r="V23" s="506"/>
      <c r="W23" s="68" t="e">
        <f>VLOOKUP(V23,DescontosTE[[#All],[idsreag supridora]:[codsariSUP]],2,FALSE)</f>
        <v>#N/A</v>
      </c>
      <c r="AA23" s="848" t="s">
        <v>1146</v>
      </c>
      <c r="AB23" s="849"/>
      <c r="AC23" s="848"/>
      <c r="AD23" s="848"/>
      <c r="AE23" s="849">
        <v>1332.4824821295329</v>
      </c>
      <c r="AF23" s="848">
        <v>44774</v>
      </c>
      <c r="AG23" s="848">
        <v>157.2239816069827</v>
      </c>
      <c r="AI23" s="847" t="s">
        <v>2063</v>
      </c>
      <c r="AM23" s="847" t="s">
        <v>2067</v>
      </c>
    </row>
    <row r="24" spans="2:42" ht="16.5">
      <c r="B24" s="93" t="s">
        <v>65</v>
      </c>
      <c r="C24" s="119">
        <v>0</v>
      </c>
      <c r="D24" s="1784"/>
      <c r="F24" s="92"/>
      <c r="H24" s="68" t="e">
        <f t="shared" si="0"/>
        <v>#N/A</v>
      </c>
      <c r="I24" s="505"/>
      <c r="J24" s="506"/>
      <c r="K24" s="506"/>
      <c r="L24" s="506"/>
      <c r="M24" s="506"/>
      <c r="N24" s="506"/>
      <c r="O24" s="506"/>
      <c r="P24" s="506"/>
      <c r="Q24" s="507"/>
      <c r="R24" s="507"/>
      <c r="S24" s="507"/>
      <c r="T24" s="507"/>
      <c r="U24" s="506"/>
      <c r="V24" s="506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1417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753335.76886149996</v>
      </c>
      <c r="D25" s="1784"/>
      <c r="H25" s="68" t="e">
        <f t="shared" si="0"/>
        <v>#N/A</v>
      </c>
      <c r="I25" s="505"/>
      <c r="J25" s="506"/>
      <c r="K25" s="506"/>
      <c r="L25" s="506"/>
      <c r="M25" s="506"/>
      <c r="N25" s="506"/>
      <c r="O25" s="506"/>
      <c r="P25" s="506"/>
      <c r="Q25" s="507"/>
      <c r="R25" s="507"/>
      <c r="S25" s="507"/>
      <c r="T25" s="507"/>
      <c r="U25" s="506"/>
      <c r="V25" s="506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2077</v>
      </c>
      <c r="AJ25" s="257" t="s">
        <v>41</v>
      </c>
      <c r="AK25" s="69">
        <v>-71871.924060358098</v>
      </c>
      <c r="AM25" s="1467"/>
      <c r="AN25" s="1467"/>
      <c r="AO25" s="1467"/>
      <c r="AP25" s="1466"/>
    </row>
    <row r="26" spans="2:42" ht="16.5">
      <c r="B26" s="937" t="s">
        <v>67</v>
      </c>
      <c r="C26" s="947">
        <v>1850000</v>
      </c>
      <c r="D26" s="1784"/>
      <c r="H26" s="68" t="e">
        <f t="shared" si="0"/>
        <v>#N/A</v>
      </c>
      <c r="I26" s="505"/>
      <c r="J26" s="506"/>
      <c r="K26" s="506"/>
      <c r="L26" s="506"/>
      <c r="M26" s="506"/>
      <c r="N26" s="506"/>
      <c r="O26" s="506"/>
      <c r="P26" s="506"/>
      <c r="Q26" s="507"/>
      <c r="R26" s="507"/>
      <c r="S26" s="507"/>
      <c r="T26" s="507"/>
      <c r="U26" s="506"/>
      <c r="V26" s="506"/>
      <c r="W26" s="68" t="e">
        <f>VLOOKUP(V26,DescontosTE[[#All],[idsreag supridora]:[codsariSUP]],2,FALSE)</f>
        <v>#N/A</v>
      </c>
      <c r="AA26" s="901" t="s">
        <v>2068</v>
      </c>
      <c r="AB26" s="901" t="s">
        <v>37</v>
      </c>
      <c r="AD26" s="847"/>
      <c r="AE26" s="909"/>
      <c r="AF26" s="847"/>
      <c r="AG26" s="847"/>
      <c r="AI26" s="257" t="s">
        <v>2077</v>
      </c>
      <c r="AJ26" s="257" t="s">
        <v>47</v>
      </c>
      <c r="AK26" s="69">
        <v>-10181.974231886999</v>
      </c>
      <c r="AM26" s="1467"/>
      <c r="AN26" s="1467"/>
      <c r="AO26" s="1467"/>
      <c r="AP26" s="1466"/>
    </row>
    <row r="27" spans="2:42" ht="16.5">
      <c r="C27" s="69"/>
      <c r="D27" s="1784"/>
      <c r="H27" s="68" t="e">
        <f t="shared" si="0"/>
        <v>#N/A</v>
      </c>
      <c r="I27" s="505"/>
      <c r="J27" s="506"/>
      <c r="K27" s="506"/>
      <c r="L27" s="506"/>
      <c r="M27" s="506"/>
      <c r="N27" s="506"/>
      <c r="O27" s="506"/>
      <c r="P27" s="506"/>
      <c r="Q27" s="507"/>
      <c r="R27" s="507"/>
      <c r="S27" s="507"/>
      <c r="T27" s="507"/>
      <c r="U27" s="506"/>
      <c r="V27" s="506"/>
      <c r="W27" s="68" t="e">
        <f>VLOOKUP(V27,DescontosTE[[#All],[idsreag supridora]:[codsariSUP]],2,FALSE)</f>
        <v>#N/A</v>
      </c>
      <c r="AA27" s="848" t="s">
        <v>2070</v>
      </c>
      <c r="AB27" s="849">
        <v>83.685257142857125</v>
      </c>
      <c r="AI27" s="257" t="s">
        <v>2077</v>
      </c>
      <c r="AJ27" s="257" t="s">
        <v>40</v>
      </c>
      <c r="AK27" s="69">
        <v>-1458.0883747519699</v>
      </c>
      <c r="AM27" s="1467"/>
      <c r="AN27" s="1467"/>
      <c r="AO27" s="1467"/>
      <c r="AP27" s="1466"/>
    </row>
    <row r="28" spans="2:42" ht="16.5">
      <c r="B28" s="936" t="s">
        <v>68</v>
      </c>
      <c r="C28" s="948"/>
      <c r="D28" s="1784"/>
      <c r="H28" s="68" t="e">
        <f t="shared" si="0"/>
        <v>#N/A</v>
      </c>
      <c r="I28" s="505"/>
      <c r="J28" s="506"/>
      <c r="K28" s="506"/>
      <c r="L28" s="506"/>
      <c r="M28" s="506"/>
      <c r="N28" s="506"/>
      <c r="O28" s="506"/>
      <c r="P28" s="506"/>
      <c r="Q28" s="507"/>
      <c r="R28" s="507"/>
      <c r="S28" s="507"/>
      <c r="T28" s="507"/>
      <c r="U28" s="506"/>
      <c r="V28" s="506"/>
      <c r="W28" s="68" t="e">
        <f>VLOOKUP(V28,DescontosTE[[#All],[idsreag supridora]:[codsariSUP]],2,FALSE)</f>
        <v>#N/A</v>
      </c>
      <c r="AA28" s="848" t="s">
        <v>2071</v>
      </c>
      <c r="AB28" s="849">
        <v>0</v>
      </c>
      <c r="AI28" s="257" t="s">
        <v>2078</v>
      </c>
      <c r="AJ28" s="257" t="s">
        <v>2079</v>
      </c>
      <c r="AK28" s="69">
        <v>115997.09476056899</v>
      </c>
      <c r="AM28" s="1467"/>
      <c r="AN28" s="1467"/>
      <c r="AO28" s="1467"/>
      <c r="AP28" s="1466"/>
    </row>
    <row r="29" spans="2:42" ht="18" customHeight="1">
      <c r="D29" s="1784"/>
      <c r="H29" s="68" t="e">
        <f t="shared" si="0"/>
        <v>#N/A</v>
      </c>
      <c r="I29" s="505"/>
      <c r="J29" s="506"/>
      <c r="K29" s="506"/>
      <c r="L29" s="506"/>
      <c r="M29" s="506"/>
      <c r="N29" s="506"/>
      <c r="O29" s="506"/>
      <c r="P29" s="506"/>
      <c r="Q29" s="507"/>
      <c r="R29" s="507"/>
      <c r="S29" s="507"/>
      <c r="T29" s="507"/>
      <c r="U29" s="506"/>
      <c r="V29" s="506"/>
      <c r="W29" s="68" t="e">
        <f>VLOOKUP(V29,DescontosTE[[#All],[idsreag supridora]:[codsariSUP]],2,FALSE)</f>
        <v>#N/A</v>
      </c>
      <c r="AA29" s="848"/>
      <c r="AB29" s="849"/>
      <c r="AI29" s="257" t="s">
        <v>2080</v>
      </c>
      <c r="AJ29" s="257" t="s">
        <v>2359</v>
      </c>
      <c r="AK29" s="69">
        <v>-94115.6101744599</v>
      </c>
      <c r="AM29" s="1467"/>
      <c r="AN29" s="1467"/>
      <c r="AO29" s="1467"/>
      <c r="AP29" s="1466"/>
    </row>
    <row r="30" spans="2:42" ht="16.5">
      <c r="B30" s="949"/>
      <c r="C30" s="950"/>
      <c r="D30" s="1784"/>
      <c r="H30" s="68" t="e">
        <f t="shared" si="0"/>
        <v>#N/A</v>
      </c>
      <c r="I30" s="505"/>
      <c r="J30" s="506"/>
      <c r="K30" s="506"/>
      <c r="L30" s="506"/>
      <c r="M30" s="506"/>
      <c r="N30" s="506"/>
      <c r="O30" s="506"/>
      <c r="P30" s="506"/>
      <c r="Q30" s="507"/>
      <c r="R30" s="507"/>
      <c r="S30" s="507"/>
      <c r="T30" s="507"/>
      <c r="U30" s="506"/>
      <c r="V30" s="506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-1128622.99179185</v>
      </c>
      <c r="AM30" s="1467"/>
      <c r="AN30" s="1467"/>
      <c r="AO30" s="1467"/>
      <c r="AP30" s="1466"/>
    </row>
    <row r="31" spans="2:42">
      <c r="B31" s="652" t="s">
        <v>69</v>
      </c>
      <c r="C31" s="653">
        <v>7.35304189857615E-2</v>
      </c>
      <c r="D31" s="1785"/>
      <c r="AI31" s="257"/>
      <c r="AJ31" s="257"/>
      <c r="AK31" s="69"/>
      <c r="AM31" s="1467"/>
      <c r="AN31" s="1467"/>
      <c r="AO31" s="1467"/>
      <c r="AP31" s="1466"/>
    </row>
    <row r="32" spans="2:42">
      <c r="B32" s="951" t="s">
        <v>70</v>
      </c>
      <c r="C32" s="952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6"/>
      <c r="C34" s="948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9" t="s">
        <v>41</v>
      </c>
      <c r="C35" s="953">
        <v>460058.27399999998</v>
      </c>
      <c r="AA35" s="196">
        <v>44562</v>
      </c>
      <c r="AB35" s="1579">
        <v>872.94150000000002</v>
      </c>
      <c r="AC35" s="1579">
        <v>10.2897</v>
      </c>
      <c r="AD35" s="1579">
        <v>0</v>
      </c>
      <c r="AI35" s="257"/>
      <c r="AJ35" s="257"/>
      <c r="AK35" s="69"/>
    </row>
    <row r="36" spans="1:37">
      <c r="B36" s="652" t="s">
        <v>47</v>
      </c>
      <c r="C36" s="87">
        <v>63130.741050000004</v>
      </c>
      <c r="AA36" s="196">
        <v>44593</v>
      </c>
      <c r="AB36" s="1579">
        <v>889.35069999999996</v>
      </c>
      <c r="AC36" s="1579">
        <v>18.367899999999999</v>
      </c>
      <c r="AD36" s="1579">
        <v>0</v>
      </c>
      <c r="AI36" s="257"/>
      <c r="AJ36" s="257"/>
      <c r="AK36" s="69"/>
    </row>
    <row r="37" spans="1:37">
      <c r="B37" s="951" t="s">
        <v>40</v>
      </c>
      <c r="C37" s="954">
        <v>10097.795628305321</v>
      </c>
      <c r="AA37" s="196">
        <v>44621</v>
      </c>
      <c r="AB37" s="1579">
        <v>990.08150000000001</v>
      </c>
      <c r="AC37" s="1579">
        <v>4.5239000000000003</v>
      </c>
      <c r="AD37" s="1579">
        <v>0</v>
      </c>
      <c r="AI37" s="257"/>
      <c r="AJ37" s="257"/>
      <c r="AK37" s="69"/>
    </row>
    <row r="38" spans="1:37">
      <c r="AA38" s="196">
        <v>44652</v>
      </c>
      <c r="AB38" s="1579">
        <v>835.37350000000004</v>
      </c>
      <c r="AC38" s="1579">
        <v>2.6635</v>
      </c>
      <c r="AD38" s="1579">
        <v>0</v>
      </c>
      <c r="AI38" s="257"/>
      <c r="AJ38" s="257"/>
      <c r="AK38" s="69"/>
    </row>
    <row r="39" spans="1:37">
      <c r="D39" s="89"/>
      <c r="AA39" s="196">
        <v>44682</v>
      </c>
      <c r="AB39" s="1579">
        <v>934.50009999999997</v>
      </c>
      <c r="AC39" s="1579">
        <v>3.7031999999999998</v>
      </c>
      <c r="AD39" s="1579">
        <v>0</v>
      </c>
      <c r="AI39" s="257"/>
      <c r="AJ39" s="257"/>
      <c r="AK39" s="69"/>
    </row>
    <row r="40" spans="1:37" ht="16.5">
      <c r="B40" s="951"/>
      <c r="C40" s="72"/>
      <c r="D40" s="9"/>
      <c r="E40" s="9" t="s">
        <v>74</v>
      </c>
      <c r="F40" s="9"/>
      <c r="AA40" s="196">
        <v>44713</v>
      </c>
      <c r="AB40" s="1579">
        <v>860.55079999999998</v>
      </c>
      <c r="AC40" s="1579">
        <v>1.1225000000000001</v>
      </c>
      <c r="AD40" s="1579">
        <v>0</v>
      </c>
      <c r="AI40" s="257"/>
      <c r="AJ40" s="257"/>
      <c r="AK40" s="69"/>
    </row>
    <row r="41" spans="1:37" ht="16.5">
      <c r="A41" s="955">
        <f>DATE(YEAR(B41),MONTH(B41),1)</f>
        <v>44470</v>
      </c>
      <c r="B41" s="941">
        <v>44476</v>
      </c>
      <c r="C41" s="531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>
        <v>44743</v>
      </c>
      <c r="AB41" s="1579">
        <v>876.62450000000001</v>
      </c>
      <c r="AC41" s="1579">
        <v>8.1456999999999997</v>
      </c>
      <c r="AD41" s="1579">
        <v>0</v>
      </c>
      <c r="AI41" s="257"/>
      <c r="AJ41" s="257"/>
      <c r="AK41" s="69"/>
    </row>
    <row r="42" spans="1:37" ht="16.5">
      <c r="A42" s="955">
        <f t="shared" ref="A42:A57" si="1">DATE(YEAR(B42),MONTH(B42),1)</f>
        <v>44501</v>
      </c>
      <c r="B42" s="507">
        <v>44509</v>
      </c>
      <c r="C42" s="531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4" t="s">
        <v>20</v>
      </c>
      <c r="J42" s="784" t="s">
        <v>21</v>
      </c>
      <c r="K42" s="784"/>
      <c r="L42" s="784" t="s">
        <v>22</v>
      </c>
      <c r="M42" s="784" t="s">
        <v>23</v>
      </c>
      <c r="N42" s="784" t="s">
        <v>24</v>
      </c>
      <c r="O42" s="784" t="s">
        <v>25</v>
      </c>
      <c r="P42" s="784" t="s">
        <v>26</v>
      </c>
      <c r="Q42" s="784" t="s">
        <v>27</v>
      </c>
      <c r="R42" s="784" t="s">
        <v>28</v>
      </c>
      <c r="S42" s="785" t="s">
        <v>29</v>
      </c>
      <c r="T42" s="784" t="s">
        <v>30</v>
      </c>
      <c r="AA42" s="196"/>
      <c r="AB42" s="1579"/>
      <c r="AC42" s="1579"/>
      <c r="AD42" s="1579"/>
      <c r="AI42" s="257"/>
      <c r="AJ42" s="257"/>
      <c r="AK42" s="69"/>
    </row>
    <row r="43" spans="1:37" ht="16.5">
      <c r="A43" s="955">
        <f t="shared" si="1"/>
        <v>44531</v>
      </c>
      <c r="B43" s="507">
        <v>44538</v>
      </c>
      <c r="C43" s="531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5">
        <v>2022</v>
      </c>
      <c r="J43" s="506" t="s">
        <v>533</v>
      </c>
      <c r="K43" s="506" t="s">
        <v>2327</v>
      </c>
      <c r="L43" s="506" t="s">
        <v>1239</v>
      </c>
      <c r="M43" s="506" t="s">
        <v>409</v>
      </c>
      <c r="N43" s="506">
        <v>7883</v>
      </c>
      <c r="O43" s="507">
        <v>44795</v>
      </c>
      <c r="P43" s="507">
        <v>44785</v>
      </c>
      <c r="Q43" s="507" t="s">
        <v>2324</v>
      </c>
      <c r="R43" s="507" t="s">
        <v>2325</v>
      </c>
      <c r="S43" s="506">
        <v>284.99</v>
      </c>
      <c r="T43" s="506">
        <v>111</v>
      </c>
      <c r="U43" s="68">
        <f>VLOOKUP(T43,DescontosTE[[#All],[idsreag supridora]:[codsariSUP]],2,FALSE)</f>
        <v>5697</v>
      </c>
      <c r="AA43" s="196"/>
      <c r="AB43" s="1579"/>
      <c r="AC43" s="1579"/>
      <c r="AD43" s="1579"/>
      <c r="AI43" s="257"/>
      <c r="AJ43" s="257"/>
      <c r="AK43" s="69"/>
    </row>
    <row r="44" spans="1:37" ht="16.5">
      <c r="A44" s="955">
        <f t="shared" si="1"/>
        <v>44562</v>
      </c>
      <c r="B44" s="507">
        <v>44566</v>
      </c>
      <c r="C44" s="531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5"/>
      <c r="J44" s="506"/>
      <c r="K44" s="506"/>
      <c r="L44" s="506"/>
      <c r="M44" s="506"/>
      <c r="N44" s="506"/>
      <c r="O44" s="507"/>
      <c r="P44" s="507"/>
      <c r="Q44" s="507"/>
      <c r="R44" s="507"/>
      <c r="S44" s="506"/>
      <c r="T44" s="506"/>
      <c r="U44" s="68" t="e">
        <f>VLOOKUP(T44,DescontosTE[[#All],[idsreag supridora]:[codsariSUP]],2,FALSE)</f>
        <v>#N/A</v>
      </c>
      <c r="AA44" s="196"/>
      <c r="AB44" s="1579"/>
      <c r="AC44" s="1579"/>
      <c r="AD44" s="1579"/>
      <c r="AI44" s="257"/>
      <c r="AJ44" s="257"/>
      <c r="AK44" s="69"/>
    </row>
    <row r="45" spans="1:37" ht="16.5">
      <c r="A45" s="955">
        <f t="shared" si="1"/>
        <v>44593</v>
      </c>
      <c r="B45" s="507">
        <v>44599</v>
      </c>
      <c r="C45" s="531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5"/>
      <c r="J45" s="506"/>
      <c r="K45" s="506"/>
      <c r="L45" s="506"/>
      <c r="M45" s="506"/>
      <c r="N45" s="506"/>
      <c r="O45" s="507"/>
      <c r="P45" s="507"/>
      <c r="Q45" s="507"/>
      <c r="R45" s="507"/>
      <c r="S45" s="506"/>
      <c r="T45" s="506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5">
        <f t="shared" si="1"/>
        <v>44621</v>
      </c>
      <c r="B46" s="507">
        <v>44629</v>
      </c>
      <c r="C46" s="531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5"/>
      <c r="J46" s="506"/>
      <c r="K46" s="506"/>
      <c r="L46" s="506"/>
      <c r="M46" s="506"/>
      <c r="N46" s="506"/>
      <c r="O46" s="507"/>
      <c r="P46" s="507"/>
      <c r="Q46" s="507"/>
      <c r="R46" s="507"/>
      <c r="S46" s="506"/>
      <c r="T46" s="506"/>
      <c r="U46" s="68" t="e">
        <f>VLOOKUP(T46,DescontosTE[[#All],[idsreag supridora]:[codsariSUP]],2,FALSE)</f>
        <v>#N/A</v>
      </c>
      <c r="AA46" s="196"/>
    </row>
    <row r="47" spans="1:37" ht="16.5">
      <c r="A47" s="955">
        <f t="shared" si="1"/>
        <v>44652</v>
      </c>
      <c r="B47" s="507">
        <v>44657</v>
      </c>
      <c r="C47" s="531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5"/>
      <c r="J47" s="506"/>
      <c r="K47" s="506"/>
      <c r="L47" s="506"/>
      <c r="M47" s="506"/>
      <c r="N47" s="506"/>
      <c r="O47" s="507"/>
      <c r="P47" s="507"/>
      <c r="Q47" s="507"/>
      <c r="R47" s="507"/>
      <c r="S47" s="506"/>
      <c r="T47" s="506"/>
      <c r="U47" s="68" t="e">
        <f>VLOOKUP(T47,DescontosTE[[#All],[idsreag supridora]:[codsariSUP]],2,FALSE)</f>
        <v>#N/A</v>
      </c>
      <c r="AA47" s="196"/>
    </row>
    <row r="48" spans="1:37" ht="16.5">
      <c r="A48" s="955">
        <f t="shared" si="1"/>
        <v>44682</v>
      </c>
      <c r="B48" s="507">
        <v>44691</v>
      </c>
      <c r="C48" s="531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5"/>
      <c r="J48" s="506"/>
      <c r="K48" s="506"/>
      <c r="L48" s="506"/>
      <c r="M48" s="506"/>
      <c r="N48" s="506"/>
      <c r="O48" s="507"/>
      <c r="P48" s="507"/>
      <c r="Q48" s="507"/>
      <c r="R48" s="507"/>
      <c r="S48" s="506"/>
      <c r="T48" s="506"/>
      <c r="U48" s="68" t="e">
        <f>VLOOKUP(T48,DescontosTE[[#All],[idsreag supridora]:[codsariSUP]],2,FALSE)</f>
        <v>#N/A</v>
      </c>
      <c r="AA48" s="196"/>
    </row>
    <row r="49" spans="1:28" ht="16.5">
      <c r="A49" s="955">
        <f t="shared" si="1"/>
        <v>44713</v>
      </c>
      <c r="B49" s="507">
        <v>44718</v>
      </c>
      <c r="C49" s="531">
        <v>64027.358200000002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5"/>
      <c r="J49" s="506"/>
      <c r="K49" s="506"/>
      <c r="L49" s="506"/>
      <c r="M49" s="506"/>
      <c r="N49" s="506"/>
      <c r="O49" s="506"/>
      <c r="P49" s="506"/>
      <c r="Q49" s="507"/>
      <c r="R49" s="507"/>
      <c r="S49" s="507"/>
      <c r="T49" s="506"/>
      <c r="U49" s="68" t="e">
        <f>VLOOKUP(T49,DescontosTE[[#All],[idsreag supridora]:[codsariSUP]],2,FALSE)</f>
        <v>#N/A</v>
      </c>
      <c r="AA49" s="196"/>
    </row>
    <row r="50" spans="1:28" ht="16.5">
      <c r="A50" s="955">
        <f t="shared" si="1"/>
        <v>44743</v>
      </c>
      <c r="B50" s="507">
        <v>44749</v>
      </c>
      <c r="C50" s="531">
        <v>4573.2345999999998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5"/>
      <c r="J50" s="506"/>
      <c r="K50" s="506"/>
      <c r="L50" s="506"/>
      <c r="M50" s="506"/>
      <c r="N50" s="506"/>
      <c r="O50" s="506"/>
      <c r="P50" s="506"/>
      <c r="Q50" s="507"/>
      <c r="R50" s="507"/>
      <c r="S50" s="507"/>
      <c r="T50" s="506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5">
        <f t="shared" si="1"/>
        <v>44774</v>
      </c>
      <c r="B51" s="507">
        <v>44781</v>
      </c>
      <c r="C51" s="531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5"/>
      <c r="J51" s="506"/>
      <c r="K51" s="506"/>
      <c r="L51" s="506"/>
      <c r="M51" s="506"/>
      <c r="N51" s="506"/>
      <c r="O51" s="506"/>
      <c r="P51" s="506"/>
      <c r="Q51" s="507"/>
      <c r="R51" s="507"/>
      <c r="S51" s="507"/>
      <c r="T51" s="506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5">
        <f t="shared" si="1"/>
        <v>44805</v>
      </c>
      <c r="B52" s="507">
        <v>44809</v>
      </c>
      <c r="C52" s="531">
        <v>1623.8412000000001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5"/>
      <c r="J52" s="506"/>
      <c r="K52" s="506"/>
      <c r="L52" s="506"/>
      <c r="M52" s="506"/>
      <c r="N52" s="506"/>
      <c r="O52" s="506"/>
      <c r="P52" s="506"/>
      <c r="Q52" s="507"/>
      <c r="R52" s="507"/>
      <c r="S52" s="507"/>
      <c r="T52" s="506"/>
      <c r="U52" s="68" t="e">
        <f>VLOOKUP(T52,DescontosTE[[#All],[idsreag supridora]:[codsariSUP]],2,FALSE)</f>
        <v>#N/A</v>
      </c>
      <c r="AA52" s="196"/>
      <c r="AB52" s="1580"/>
    </row>
    <row r="53" spans="1:28" ht="16.5">
      <c r="A53" s="955">
        <f t="shared" si="1"/>
        <v>1</v>
      </c>
      <c r="B53" s="507"/>
      <c r="C53" s="531"/>
      <c r="D53" s="9" t="b">
        <f ca="1">BD!E53&gt;=CAPA!$L$73</f>
        <v>0</v>
      </c>
      <c r="E53" s="233">
        <f>Indexador!L46</f>
        <v>0</v>
      </c>
      <c r="F53" s="479">
        <f>CAPA!B75</f>
        <v>44713</v>
      </c>
      <c r="H53" s="68" t="e">
        <f t="shared" si="2"/>
        <v>#N/A</v>
      </c>
      <c r="I53" s="505"/>
      <c r="J53" s="506"/>
      <c r="K53" s="506"/>
      <c r="L53" s="506"/>
      <c r="M53" s="506"/>
      <c r="N53" s="506"/>
      <c r="O53" s="506"/>
      <c r="P53" s="506"/>
      <c r="Q53" s="507"/>
      <c r="R53" s="507"/>
      <c r="S53" s="507"/>
      <c r="T53" s="506"/>
      <c r="U53" s="68" t="e">
        <f>VLOOKUP(T53,DescontosTE[[#All],[idsreag supridora]:[codsariSUP]],2,FALSE)</f>
        <v>#N/A</v>
      </c>
      <c r="AA53" s="196"/>
      <c r="AB53" s="1580"/>
    </row>
    <row r="54" spans="1:28" ht="16.5">
      <c r="A54" s="955">
        <f t="shared" si="1"/>
        <v>1</v>
      </c>
      <c r="B54" s="507"/>
      <c r="C54" s="531"/>
      <c r="D54" s="9" t="b">
        <f ca="1">BD!E54&gt;=CAPA!$L$73</f>
        <v>0</v>
      </c>
      <c r="E54" s="233">
        <f>Indexador!L47</f>
        <v>0</v>
      </c>
      <c r="F54" s="479">
        <f>CAPA!B76</f>
        <v>44743</v>
      </c>
      <c r="H54" s="68" t="e">
        <f t="shared" si="2"/>
        <v>#N/A</v>
      </c>
      <c r="I54" s="505"/>
      <c r="J54" s="506"/>
      <c r="K54" s="506"/>
      <c r="L54" s="506"/>
      <c r="M54" s="506"/>
      <c r="N54" s="506"/>
      <c r="O54" s="506"/>
      <c r="P54" s="506"/>
      <c r="Q54" s="507"/>
      <c r="R54" s="507"/>
      <c r="S54" s="507"/>
      <c r="T54" s="506"/>
      <c r="U54" s="68" t="e">
        <f>VLOOKUP(T54,DescontosTE[[#All],[idsreag supridora]:[codsariSUP]],2,FALSE)</f>
        <v>#N/A</v>
      </c>
      <c r="AA54" s="196"/>
      <c r="AB54" s="1580"/>
    </row>
    <row r="55" spans="1:28" ht="16.5">
      <c r="A55" s="955">
        <f t="shared" si="1"/>
        <v>1</v>
      </c>
      <c r="B55" s="507"/>
      <c r="C55" s="531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5"/>
      <c r="J55" s="506"/>
      <c r="K55" s="506"/>
      <c r="L55" s="506"/>
      <c r="M55" s="506"/>
      <c r="N55" s="506"/>
      <c r="O55" s="506"/>
      <c r="P55" s="506"/>
      <c r="Q55" s="507"/>
      <c r="R55" s="507"/>
      <c r="S55" s="507"/>
      <c r="T55" s="506"/>
      <c r="U55" s="68" t="e">
        <f>VLOOKUP(T55,DescontosTE[[#All],[idsreag supridora]:[codsariSUP]],2,FALSE)</f>
        <v>#N/A</v>
      </c>
      <c r="AA55" s="196"/>
      <c r="AB55" s="1580"/>
    </row>
    <row r="56" spans="1:28" ht="16.5">
      <c r="A56" s="955">
        <f t="shared" si="1"/>
        <v>1</v>
      </c>
      <c r="B56" s="507"/>
      <c r="C56" s="531"/>
      <c r="D56" s="9"/>
      <c r="E56" s="233"/>
      <c r="F56" s="479"/>
      <c r="H56" s="68" t="e">
        <f t="shared" si="2"/>
        <v>#N/A</v>
      </c>
      <c r="I56" s="505"/>
      <c r="J56" s="506"/>
      <c r="K56" s="506"/>
      <c r="L56" s="506"/>
      <c r="M56" s="506"/>
      <c r="N56" s="506"/>
      <c r="O56" s="506"/>
      <c r="P56" s="506"/>
      <c r="Q56" s="507"/>
      <c r="R56" s="507"/>
      <c r="S56" s="507"/>
      <c r="T56" s="506"/>
      <c r="U56" s="68" t="e">
        <f>VLOOKUP(T56,DescontosTE[[#All],[idsreag supridora]:[codsariSUP]],2,FALSE)</f>
        <v>#N/A</v>
      </c>
      <c r="AA56" s="196"/>
      <c r="AB56" s="1580"/>
    </row>
    <row r="57" spans="1:28" ht="16.5">
      <c r="A57" s="955">
        <f t="shared" si="1"/>
        <v>1</v>
      </c>
      <c r="B57" s="956"/>
      <c r="C57" s="820"/>
      <c r="D57" s="17"/>
      <c r="H57" s="68" t="e">
        <f t="shared" si="2"/>
        <v>#N/A</v>
      </c>
      <c r="I57" s="505"/>
      <c r="J57" s="506"/>
      <c r="K57" s="506"/>
      <c r="L57" s="506"/>
      <c r="M57" s="506"/>
      <c r="N57" s="506"/>
      <c r="O57" s="506"/>
      <c r="P57" s="506"/>
      <c r="Q57" s="507"/>
      <c r="R57" s="507"/>
      <c r="S57" s="507"/>
      <c r="T57" s="506"/>
      <c r="U57" s="68" t="e">
        <f>VLOOKUP(T57,DescontosTE[[#All],[idsreag supridora]:[codsariSUP]],2,FALSE)</f>
        <v>#N/A</v>
      </c>
      <c r="AA57" s="196"/>
      <c r="AB57" s="1580"/>
    </row>
    <row r="58" spans="1:28" ht="16.5">
      <c r="H58" s="68" t="e">
        <f t="shared" si="2"/>
        <v>#N/A</v>
      </c>
      <c r="I58" s="505"/>
      <c r="J58" s="506"/>
      <c r="K58" s="506"/>
      <c r="L58" s="506"/>
      <c r="M58" s="506"/>
      <c r="N58" s="506"/>
      <c r="O58" s="506"/>
      <c r="P58" s="506"/>
      <c r="Q58" s="507"/>
      <c r="R58" s="507"/>
      <c r="S58" s="507"/>
      <c r="T58" s="506"/>
      <c r="U58" s="68" t="e">
        <f>VLOOKUP(T58,DescontosTE[[#All],[idsreag supridora]:[codsariSUP]],2,FALSE)</f>
        <v>#N/A</v>
      </c>
      <c r="AA58" s="196"/>
      <c r="AB58" s="1580"/>
    </row>
    <row r="59" spans="1:28" ht="16.5">
      <c r="H59" s="68" t="e">
        <f t="shared" si="2"/>
        <v>#N/A</v>
      </c>
      <c r="I59" s="957"/>
      <c r="J59" s="958"/>
      <c r="K59" s="958"/>
      <c r="L59" s="958"/>
      <c r="M59" s="958"/>
      <c r="N59" s="958"/>
      <c r="O59" s="958"/>
      <c r="P59" s="958"/>
      <c r="Q59" s="956"/>
      <c r="R59" s="956"/>
      <c r="S59" s="956"/>
      <c r="T59" s="958"/>
      <c r="U59" s="68" t="e">
        <f>VLOOKUP(T59,DescontosTE[[#All],[idsreag supridora]:[codsariSUP]],2,FALSE)</f>
        <v>#N/A</v>
      </c>
      <c r="AA59" s="196"/>
      <c r="AB59" s="1580"/>
    </row>
    <row r="60" spans="1:28">
      <c r="B60" s="951" t="s">
        <v>75</v>
      </c>
      <c r="C60" s="72"/>
      <c r="AA60" s="196"/>
      <c r="AB60" s="1580"/>
    </row>
    <row r="61" spans="1:28" ht="16.5">
      <c r="B61" s="959" t="s">
        <v>697</v>
      </c>
      <c r="C61" s="821">
        <v>0</v>
      </c>
      <c r="D61" s="68">
        <v>0</v>
      </c>
      <c r="AA61" s="196"/>
      <c r="AB61" s="1580"/>
    </row>
    <row r="62" spans="1:28" ht="16.5">
      <c r="B62" s="689" t="s">
        <v>699</v>
      </c>
      <c r="C62" s="531">
        <v>0</v>
      </c>
      <c r="D62" s="69">
        <v>0</v>
      </c>
      <c r="AA62" s="196"/>
      <c r="AB62" s="1580"/>
    </row>
    <row r="63" spans="1:28" ht="16.5">
      <c r="B63" s="689" t="s">
        <v>701</v>
      </c>
      <c r="C63" s="531">
        <v>0</v>
      </c>
      <c r="D63" s="69">
        <v>0</v>
      </c>
      <c r="AA63" s="196"/>
      <c r="AB63" s="1580"/>
    </row>
    <row r="64" spans="1:28" ht="16.5">
      <c r="B64" s="689" t="s">
        <v>702</v>
      </c>
      <c r="C64" s="531">
        <v>0</v>
      </c>
      <c r="D64" s="69">
        <v>0</v>
      </c>
      <c r="I64" s="68" t="s">
        <v>2178</v>
      </c>
    </row>
    <row r="65" spans="2:16" ht="16.5">
      <c r="B65" s="689" t="s">
        <v>705</v>
      </c>
      <c r="C65" s="531">
        <v>4141.8900000000003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60" t="s">
        <v>707</v>
      </c>
      <c r="C66" s="820">
        <v>123.36</v>
      </c>
      <c r="D66" s="69">
        <v>0</v>
      </c>
      <c r="I66" s="68" t="s">
        <v>2343</v>
      </c>
      <c r="J66" s="68">
        <v>5697</v>
      </c>
      <c r="K66" s="1578">
        <v>44469</v>
      </c>
      <c r="L66" s="68" t="s">
        <v>2361</v>
      </c>
      <c r="M66" s="68">
        <v>0</v>
      </c>
    </row>
    <row r="67" spans="2:16">
      <c r="K67" s="1578"/>
    </row>
    <row r="68" spans="2:16">
      <c r="K68" s="1578"/>
    </row>
    <row r="69" spans="2:16">
      <c r="K69" s="1578"/>
    </row>
    <row r="70" spans="2:16">
      <c r="B70" s="901" t="s">
        <v>72</v>
      </c>
      <c r="C70" s="901" t="s">
        <v>37</v>
      </c>
      <c r="D70" s="901" t="s">
        <v>73</v>
      </c>
      <c r="K70" s="1578"/>
    </row>
    <row r="71" spans="2:16">
      <c r="B71" s="848" t="s">
        <v>49</v>
      </c>
      <c r="C71" s="1465"/>
      <c r="D71" s="849"/>
      <c r="K71" s="1578"/>
    </row>
    <row r="72" spans="2:16">
      <c r="B72" s="848" t="s">
        <v>768</v>
      </c>
      <c r="C72" s="1465">
        <v>257354.31</v>
      </c>
      <c r="D72" s="849" t="s">
        <v>2379</v>
      </c>
      <c r="E72" s="837">
        <f>3921.54+E73</f>
        <v>257354.31</v>
      </c>
      <c r="F72" s="68" t="s">
        <v>2379</v>
      </c>
      <c r="K72" s="1578"/>
    </row>
    <row r="73" spans="2:16">
      <c r="B73" s="848" t="s">
        <v>2319</v>
      </c>
      <c r="C73" s="1465">
        <v>253432.77</v>
      </c>
      <c r="D73" s="849" t="str">
        <f>D72</f>
        <v>DSP 2368/2022</v>
      </c>
      <c r="E73" s="837">
        <v>253432.77</v>
      </c>
      <c r="K73" s="1578"/>
    </row>
    <row r="74" spans="2:16">
      <c r="B74" s="848" t="s">
        <v>2072</v>
      </c>
      <c r="C74" s="1465">
        <v>-142407.21</v>
      </c>
      <c r="D74" s="849" t="s">
        <v>2358</v>
      </c>
      <c r="K74" s="1578"/>
    </row>
    <row r="75" spans="2:16">
      <c r="B75" s="848" t="s">
        <v>2320</v>
      </c>
      <c r="C75" s="1465"/>
      <c r="D75" s="849"/>
      <c r="K75" s="1578"/>
    </row>
    <row r="76" spans="2:16">
      <c r="B76" s="848" t="s">
        <v>2321</v>
      </c>
      <c r="C76" s="1465">
        <v>0</v>
      </c>
      <c r="D76" s="849"/>
    </row>
    <row r="77" spans="2:16">
      <c r="B77" s="848" t="s">
        <v>2322</v>
      </c>
      <c r="C77" s="1465">
        <v>0</v>
      </c>
      <c r="D77" s="849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2343</v>
      </c>
      <c r="J80" s="68">
        <v>5697</v>
      </c>
      <c r="K80" s="1578">
        <v>44469</v>
      </c>
      <c r="L80" s="68" t="s">
        <v>2361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2343</v>
      </c>
      <c r="J81" s="68">
        <v>5697</v>
      </c>
      <c r="K81" s="1578">
        <v>44469</v>
      </c>
      <c r="L81" s="68" t="s">
        <v>2361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1" t="s">
        <v>695</v>
      </c>
      <c r="C82" s="901" t="s">
        <v>2172</v>
      </c>
      <c r="D82" s="901" t="s">
        <v>37</v>
      </c>
      <c r="I82" s="68" t="s">
        <v>2343</v>
      </c>
      <c r="J82" s="68">
        <v>5697</v>
      </c>
      <c r="K82" s="1578">
        <v>44469</v>
      </c>
      <c r="L82" s="68" t="s">
        <v>2361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8" t="s">
        <v>1438</v>
      </c>
      <c r="C83" s="1465" t="s">
        <v>2344</v>
      </c>
      <c r="D83" s="849">
        <v>198.72484580353299</v>
      </c>
      <c r="I83" s="68" t="s">
        <v>2343</v>
      </c>
      <c r="J83" s="68">
        <v>5697</v>
      </c>
      <c r="K83" s="1578">
        <v>44469</v>
      </c>
      <c r="L83" s="68" t="s">
        <v>2361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8" t="s">
        <v>2345</v>
      </c>
      <c r="C84" s="1465" t="s">
        <v>2346</v>
      </c>
      <c r="D84" s="849">
        <v>0</v>
      </c>
      <c r="K84" s="1578"/>
    </row>
    <row r="85" spans="2:16">
      <c r="B85" s="848" t="s">
        <v>1431</v>
      </c>
      <c r="C85" s="1465" t="s">
        <v>2346</v>
      </c>
      <c r="D85" s="849">
        <v>0</v>
      </c>
      <c r="K85" s="1578"/>
    </row>
    <row r="86" spans="2:16">
      <c r="B86" s="848" t="s">
        <v>1430</v>
      </c>
      <c r="C86" s="1465" t="s">
        <v>2346</v>
      </c>
      <c r="D86" s="849">
        <v>7.35304189857615E-2</v>
      </c>
      <c r="K86" s="1578"/>
    </row>
    <row r="87" spans="2:16">
      <c r="K87" s="1578"/>
    </row>
    <row r="88" spans="2:16">
      <c r="K88" s="1578"/>
    </row>
    <row r="89" spans="2:16">
      <c r="K89" s="1578"/>
    </row>
    <row r="90" spans="2:16">
      <c r="K90" s="1578"/>
    </row>
    <row r="91" spans="2:16">
      <c r="K91" s="1578"/>
    </row>
    <row r="92" spans="2:16">
      <c r="K92" s="1578"/>
    </row>
    <row r="93" spans="2:16">
      <c r="K93" s="1578"/>
    </row>
    <row r="94" spans="2:16">
      <c r="K94" s="1578"/>
    </row>
    <row r="95" spans="2:16">
      <c r="K95" s="1578"/>
    </row>
    <row r="96" spans="2:16">
      <c r="K96" s="1578"/>
    </row>
    <row r="97" spans="2:11">
      <c r="K97" s="1578"/>
    </row>
    <row r="98" spans="2:11">
      <c r="K98" s="1578"/>
    </row>
    <row r="103" spans="2:11" ht="25.5" customHeight="1">
      <c r="B103" s="68" t="s">
        <v>2188</v>
      </c>
      <c r="C103" s="1581" t="s">
        <v>2190</v>
      </c>
      <c r="D103" s="68" t="s">
        <v>2189</v>
      </c>
    </row>
    <row r="104" spans="2:11">
      <c r="B104" s="69">
        <v>2747645.1312338929</v>
      </c>
      <c r="C104" s="196">
        <v>44531</v>
      </c>
      <c r="D104" s="68" t="s">
        <v>2323</v>
      </c>
    </row>
    <row r="108" spans="2:11" ht="28.5">
      <c r="B108" s="1581" t="s">
        <v>2186</v>
      </c>
      <c r="C108" s="1581" t="s">
        <v>2187</v>
      </c>
      <c r="D108" s="1581" t="s">
        <v>213</v>
      </c>
      <c r="E108" s="1581" t="s">
        <v>214</v>
      </c>
      <c r="F108" s="1581" t="s">
        <v>2191</v>
      </c>
      <c r="G108" s="1581" t="s">
        <v>2192</v>
      </c>
      <c r="H108" s="1581" t="s">
        <v>2193</v>
      </c>
    </row>
    <row r="109" spans="2:11">
      <c r="B109" s="1581" t="s">
        <v>479</v>
      </c>
      <c r="C109" s="1581">
        <v>111</v>
      </c>
      <c r="D109" s="1581">
        <v>66.75041888804266</v>
      </c>
      <c r="E109" s="1581">
        <v>180.36</v>
      </c>
      <c r="F109" s="1582">
        <v>1128622.9917918474</v>
      </c>
      <c r="G109" s="1583">
        <v>44430</v>
      </c>
      <c r="H109" s="1583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V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2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2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2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2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  <c r="V5">
        <v>0</v>
      </c>
    </row>
    <row r="6" spans="2:22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2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2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2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2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2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2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2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2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2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2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>
      <c r="A2" t="s">
        <v>2362</v>
      </c>
      <c r="B2">
        <v>7883</v>
      </c>
      <c r="C2" t="s">
        <v>2360</v>
      </c>
      <c r="D2">
        <v>5697</v>
      </c>
      <c r="E2" t="s">
        <v>2201</v>
      </c>
      <c r="F2" t="s">
        <v>2361</v>
      </c>
      <c r="G2">
        <v>2021</v>
      </c>
      <c r="H2">
        <v>7</v>
      </c>
      <c r="I2" s="8">
        <v>44378</v>
      </c>
      <c r="J2">
        <v>2631.16</v>
      </c>
      <c r="K2">
        <v>1274.1099999999999</v>
      </c>
      <c r="L2">
        <v>324221.76</v>
      </c>
      <c r="M2">
        <v>16147.58</v>
      </c>
      <c r="N2">
        <v>819433.77</v>
      </c>
      <c r="O2">
        <v>68314.61</v>
      </c>
      <c r="P2">
        <v>13833</v>
      </c>
      <c r="Q2">
        <v>12.33</v>
      </c>
      <c r="R2">
        <v>23.94</v>
      </c>
      <c r="S2">
        <v>10.17</v>
      </c>
      <c r="T2">
        <v>203.32</v>
      </c>
      <c r="U2">
        <v>8293.9699999999993</v>
      </c>
      <c r="V2">
        <v>0</v>
      </c>
      <c r="W2">
        <v>0</v>
      </c>
      <c r="X2">
        <v>255198.64</v>
      </c>
      <c r="AA2" s="232">
        <f>J2*Q2+K2*R2+((L2+M2)/1000)*S2</f>
        <v>66405.952387800004</v>
      </c>
      <c r="AB2" s="232">
        <f>((N2+O2)/1000)*T2</f>
        <v>180497.00062159999</v>
      </c>
    </row>
    <row r="3" spans="1:28">
      <c r="A3" t="s">
        <v>2363</v>
      </c>
      <c r="B3">
        <v>7883</v>
      </c>
      <c r="C3" t="s">
        <v>2360</v>
      </c>
      <c r="D3">
        <v>5697</v>
      </c>
      <c r="E3" t="s">
        <v>2201</v>
      </c>
      <c r="F3" t="s">
        <v>2361</v>
      </c>
      <c r="G3">
        <v>2021</v>
      </c>
      <c r="H3">
        <v>8</v>
      </c>
      <c r="I3" s="8">
        <v>44409</v>
      </c>
      <c r="J3">
        <v>2693.37</v>
      </c>
      <c r="K3">
        <v>1147.3900000000001</v>
      </c>
      <c r="L3">
        <v>388115.14</v>
      </c>
      <c r="M3">
        <v>26205</v>
      </c>
      <c r="N3">
        <v>864045.34</v>
      </c>
      <c r="O3">
        <v>76868.149999999994</v>
      </c>
      <c r="P3">
        <v>14222</v>
      </c>
      <c r="Q3">
        <v>12.33</v>
      </c>
      <c r="R3">
        <v>23.94</v>
      </c>
      <c r="S3">
        <v>10.17</v>
      </c>
      <c r="T3">
        <v>203.32</v>
      </c>
      <c r="U3">
        <v>462</v>
      </c>
      <c r="V3">
        <v>0</v>
      </c>
      <c r="W3">
        <v>0</v>
      </c>
      <c r="X3">
        <v>256659.8</v>
      </c>
      <c r="AA3" s="232">
        <f t="shared" ref="AA3:AA66" si="0">J3*Q3+K3*R3+((L3+M3)/1000)*S3</f>
        <v>64891.404523800004</v>
      </c>
      <c r="AB3" s="232">
        <f t="shared" ref="AB3:AB66" si="1">((N3+O3)/1000)*T3</f>
        <v>191306.53078679999</v>
      </c>
    </row>
    <row r="4" spans="1:28">
      <c r="A4" t="s">
        <v>2364</v>
      </c>
      <c r="B4">
        <v>7883</v>
      </c>
      <c r="C4" t="s">
        <v>2360</v>
      </c>
      <c r="D4">
        <v>5697</v>
      </c>
      <c r="E4" t="s">
        <v>2201</v>
      </c>
      <c r="F4" t="s">
        <v>2361</v>
      </c>
      <c r="G4">
        <v>2021</v>
      </c>
      <c r="H4">
        <v>9</v>
      </c>
      <c r="I4" s="8">
        <v>44440</v>
      </c>
      <c r="J4">
        <v>2709.5</v>
      </c>
      <c r="K4">
        <v>1271.8</v>
      </c>
      <c r="L4">
        <v>678195</v>
      </c>
      <c r="M4">
        <v>59046</v>
      </c>
      <c r="N4">
        <v>874322</v>
      </c>
      <c r="O4">
        <v>78413</v>
      </c>
      <c r="P4">
        <v>14802</v>
      </c>
      <c r="Q4">
        <v>12.33</v>
      </c>
      <c r="R4">
        <v>23.94</v>
      </c>
      <c r="S4">
        <v>10.17</v>
      </c>
      <c r="T4">
        <v>203.32</v>
      </c>
      <c r="U4">
        <v>1064.51</v>
      </c>
      <c r="V4">
        <v>0</v>
      </c>
      <c r="W4">
        <v>0</v>
      </c>
      <c r="X4">
        <v>266127.33</v>
      </c>
      <c r="AA4" s="232">
        <f t="shared" si="0"/>
        <v>71352.767970000001</v>
      </c>
      <c r="AB4" s="232">
        <f t="shared" si="1"/>
        <v>193710.0802</v>
      </c>
    </row>
    <row r="5" spans="1:28">
      <c r="A5" t="s">
        <v>2365</v>
      </c>
      <c r="B5">
        <v>7883</v>
      </c>
      <c r="C5" t="s">
        <v>2360</v>
      </c>
      <c r="D5">
        <v>5697</v>
      </c>
      <c r="E5" t="s">
        <v>2201</v>
      </c>
      <c r="F5" t="s">
        <v>2361</v>
      </c>
      <c r="G5">
        <v>2021</v>
      </c>
      <c r="H5">
        <v>10</v>
      </c>
      <c r="I5" s="8">
        <v>44470</v>
      </c>
      <c r="J5">
        <v>2458.36</v>
      </c>
      <c r="K5">
        <v>1232.6400000000001</v>
      </c>
      <c r="L5">
        <v>409977</v>
      </c>
      <c r="M5">
        <v>34108</v>
      </c>
      <c r="N5">
        <v>794108.93</v>
      </c>
      <c r="O5">
        <v>72543.11</v>
      </c>
      <c r="P5">
        <v>14798</v>
      </c>
      <c r="Q5">
        <v>12.31</v>
      </c>
      <c r="R5">
        <v>23.85</v>
      </c>
      <c r="S5">
        <v>10.32</v>
      </c>
      <c r="T5">
        <v>206.99</v>
      </c>
      <c r="U5">
        <v>6554.88</v>
      </c>
      <c r="V5">
        <v>0</v>
      </c>
      <c r="W5">
        <v>0</v>
      </c>
      <c r="X5">
        <v>250186.23999999999</v>
      </c>
      <c r="AA5" s="232">
        <f t="shared" si="0"/>
        <v>64243.832800000004</v>
      </c>
      <c r="AB5" s="232">
        <f t="shared" si="1"/>
        <v>179388.30575960001</v>
      </c>
    </row>
    <row r="6" spans="1:28">
      <c r="A6" t="s">
        <v>2366</v>
      </c>
      <c r="B6">
        <v>7883</v>
      </c>
      <c r="C6" t="s">
        <v>2360</v>
      </c>
      <c r="D6">
        <v>5697</v>
      </c>
      <c r="E6" t="s">
        <v>2201</v>
      </c>
      <c r="F6" t="s">
        <v>2361</v>
      </c>
      <c r="G6">
        <v>2021</v>
      </c>
      <c r="H6">
        <v>11</v>
      </c>
      <c r="I6" s="8">
        <v>44501</v>
      </c>
      <c r="J6">
        <v>2628.86</v>
      </c>
      <c r="K6">
        <v>1204.99</v>
      </c>
      <c r="L6">
        <v>120848.26</v>
      </c>
      <c r="M6">
        <v>3662.78</v>
      </c>
      <c r="N6">
        <v>821759.43</v>
      </c>
      <c r="O6">
        <v>66078.490000000005</v>
      </c>
      <c r="P6">
        <v>15757</v>
      </c>
      <c r="Q6">
        <v>11.83</v>
      </c>
      <c r="R6">
        <v>21.22</v>
      </c>
      <c r="S6">
        <v>14.37</v>
      </c>
      <c r="T6">
        <v>313.3</v>
      </c>
      <c r="U6">
        <v>12389.75</v>
      </c>
      <c r="V6">
        <v>0</v>
      </c>
      <c r="W6">
        <v>0</v>
      </c>
      <c r="X6">
        <v>349007.56</v>
      </c>
      <c r="AA6" s="232">
        <f t="shared" si="0"/>
        <v>58458.525244800003</v>
      </c>
      <c r="AB6" s="232">
        <f t="shared" si="1"/>
        <v>278159.62033600005</v>
      </c>
    </row>
    <row r="7" spans="1:28">
      <c r="A7" t="s">
        <v>2367</v>
      </c>
      <c r="B7">
        <v>7883</v>
      </c>
      <c r="C7" t="s">
        <v>2360</v>
      </c>
      <c r="D7">
        <v>5697</v>
      </c>
      <c r="E7" t="s">
        <v>2201</v>
      </c>
      <c r="F7" t="s">
        <v>2361</v>
      </c>
      <c r="G7">
        <v>2021</v>
      </c>
      <c r="H7">
        <v>12</v>
      </c>
      <c r="I7" s="8">
        <v>44531</v>
      </c>
      <c r="J7">
        <v>2451.4499999999998</v>
      </c>
      <c r="K7">
        <v>822.52</v>
      </c>
      <c r="L7">
        <v>166593.60000000001</v>
      </c>
      <c r="M7">
        <v>6224.83</v>
      </c>
      <c r="N7">
        <v>822364.62</v>
      </c>
      <c r="O7">
        <v>69399.8</v>
      </c>
      <c r="P7">
        <v>15731</v>
      </c>
      <c r="Q7">
        <v>11.83</v>
      </c>
      <c r="R7">
        <v>21.22</v>
      </c>
      <c r="S7">
        <v>14.37</v>
      </c>
      <c r="T7">
        <v>313.3</v>
      </c>
      <c r="U7">
        <v>12756.52</v>
      </c>
      <c r="V7">
        <v>0</v>
      </c>
      <c r="W7">
        <v>0</v>
      </c>
      <c r="X7">
        <v>341083.75</v>
      </c>
      <c r="AA7" s="232">
        <f t="shared" si="0"/>
        <v>48937.928739099996</v>
      </c>
      <c r="AB7" s="232">
        <f t="shared" si="1"/>
        <v>279389.79278600006</v>
      </c>
    </row>
    <row r="8" spans="1:28">
      <c r="A8" t="s">
        <v>2368</v>
      </c>
      <c r="B8">
        <v>7883</v>
      </c>
      <c r="C8" t="s">
        <v>2360</v>
      </c>
      <c r="D8">
        <v>5697</v>
      </c>
      <c r="E8" t="s">
        <v>2201</v>
      </c>
      <c r="F8" t="s">
        <v>2361</v>
      </c>
      <c r="G8">
        <v>2022</v>
      </c>
      <c r="H8">
        <v>1</v>
      </c>
      <c r="I8" s="8">
        <v>44562</v>
      </c>
      <c r="J8">
        <v>2409.98</v>
      </c>
      <c r="K8">
        <v>1022.97</v>
      </c>
      <c r="L8">
        <v>302467</v>
      </c>
      <c r="M8">
        <v>21532</v>
      </c>
      <c r="N8">
        <v>723792.29</v>
      </c>
      <c r="O8">
        <v>67709.8</v>
      </c>
      <c r="P8">
        <v>14345</v>
      </c>
      <c r="Q8">
        <v>11.83</v>
      </c>
      <c r="R8">
        <v>21.22</v>
      </c>
      <c r="S8">
        <v>14.37</v>
      </c>
      <c r="T8">
        <v>313.3</v>
      </c>
      <c r="U8">
        <v>11766.69</v>
      </c>
      <c r="V8">
        <v>0</v>
      </c>
      <c r="W8">
        <v>0</v>
      </c>
      <c r="X8">
        <v>314617.28000000003</v>
      </c>
      <c r="AA8" s="232">
        <f t="shared" si="0"/>
        <v>54873.352429999999</v>
      </c>
      <c r="AB8" s="232">
        <f t="shared" si="1"/>
        <v>247977.60479700004</v>
      </c>
    </row>
    <row r="9" spans="1:28">
      <c r="A9" t="s">
        <v>2369</v>
      </c>
      <c r="B9">
        <v>7883</v>
      </c>
      <c r="C9" t="s">
        <v>2360</v>
      </c>
      <c r="D9">
        <v>5697</v>
      </c>
      <c r="E9" t="s">
        <v>2201</v>
      </c>
      <c r="F9" t="s">
        <v>2361</v>
      </c>
      <c r="G9">
        <v>2022</v>
      </c>
      <c r="H9">
        <v>2</v>
      </c>
      <c r="I9" s="8">
        <v>44593</v>
      </c>
      <c r="J9">
        <v>2398.46</v>
      </c>
      <c r="K9">
        <v>1002.24</v>
      </c>
      <c r="L9">
        <v>268670</v>
      </c>
      <c r="M9">
        <v>18201</v>
      </c>
      <c r="N9">
        <v>8950</v>
      </c>
      <c r="O9">
        <v>0</v>
      </c>
      <c r="P9">
        <v>13335</v>
      </c>
      <c r="Q9">
        <v>11.83</v>
      </c>
      <c r="R9">
        <v>21.22</v>
      </c>
      <c r="S9">
        <v>14.37</v>
      </c>
      <c r="T9">
        <v>313.3</v>
      </c>
      <c r="U9">
        <v>2808.49</v>
      </c>
      <c r="V9">
        <v>0</v>
      </c>
      <c r="W9">
        <v>-15097.09</v>
      </c>
      <c r="X9">
        <v>44279.06</v>
      </c>
      <c r="AA9" s="232">
        <f t="shared" si="0"/>
        <v>53763.650869999998</v>
      </c>
      <c r="AB9" s="232">
        <f t="shared" si="1"/>
        <v>2804.0349999999999</v>
      </c>
    </row>
    <row r="10" spans="1:28">
      <c r="A10" t="s">
        <v>2370</v>
      </c>
      <c r="B10">
        <v>7883</v>
      </c>
      <c r="C10" t="s">
        <v>2360</v>
      </c>
      <c r="D10">
        <v>5697</v>
      </c>
      <c r="E10" t="s">
        <v>2201</v>
      </c>
      <c r="F10" t="s">
        <v>2361</v>
      </c>
      <c r="G10">
        <v>2022</v>
      </c>
      <c r="H10">
        <v>3</v>
      </c>
      <c r="I10" s="8">
        <v>44621</v>
      </c>
      <c r="J10">
        <v>2663.42</v>
      </c>
      <c r="K10">
        <v>1269.5</v>
      </c>
      <c r="L10">
        <v>452347</v>
      </c>
      <c r="M10">
        <v>37054</v>
      </c>
      <c r="N10">
        <v>8950</v>
      </c>
      <c r="O10">
        <v>0</v>
      </c>
      <c r="P10">
        <v>11942</v>
      </c>
      <c r="Q10">
        <v>11.83</v>
      </c>
      <c r="R10">
        <v>21.22</v>
      </c>
      <c r="S10">
        <v>14.37</v>
      </c>
      <c r="T10">
        <v>313.3</v>
      </c>
      <c r="U10">
        <v>2010.4</v>
      </c>
      <c r="V10">
        <v>0</v>
      </c>
      <c r="W10">
        <v>0</v>
      </c>
      <c r="X10">
        <v>70294.149999999994</v>
      </c>
      <c r="AA10" s="232">
        <f t="shared" si="0"/>
        <v>65479.740969999992</v>
      </c>
      <c r="AB10" s="232">
        <f t="shared" si="1"/>
        <v>2804.0349999999999</v>
      </c>
    </row>
    <row r="11" spans="1:28">
      <c r="A11" t="s">
        <v>2371</v>
      </c>
      <c r="B11">
        <v>7883</v>
      </c>
      <c r="C11" t="s">
        <v>2360</v>
      </c>
      <c r="D11">
        <v>5697</v>
      </c>
      <c r="E11" t="s">
        <v>2201</v>
      </c>
      <c r="F11" t="s">
        <v>2361</v>
      </c>
      <c r="G11">
        <v>2022</v>
      </c>
      <c r="H11">
        <v>4</v>
      </c>
      <c r="I11" s="8">
        <v>44652</v>
      </c>
      <c r="J11">
        <v>2476.8000000000002</v>
      </c>
      <c r="K11">
        <v>1230.33</v>
      </c>
      <c r="L11">
        <v>119241</v>
      </c>
      <c r="M11">
        <v>3742</v>
      </c>
      <c r="N11">
        <v>0</v>
      </c>
      <c r="O11">
        <v>8950</v>
      </c>
      <c r="P11">
        <v>12907</v>
      </c>
      <c r="Q11">
        <v>11.83</v>
      </c>
      <c r="R11">
        <v>21.22</v>
      </c>
      <c r="S11">
        <v>14.37</v>
      </c>
      <c r="T11">
        <v>313.3</v>
      </c>
      <c r="U11">
        <v>2034.04</v>
      </c>
      <c r="V11">
        <v>0</v>
      </c>
      <c r="W11">
        <v>0</v>
      </c>
      <c r="X11">
        <v>62013.47</v>
      </c>
      <c r="AA11" s="232">
        <f t="shared" si="0"/>
        <v>57175.41231</v>
      </c>
      <c r="AB11" s="232">
        <f t="shared" si="1"/>
        <v>2804.0349999999999</v>
      </c>
    </row>
    <row r="12" spans="1:28">
      <c r="A12" t="s">
        <v>2372</v>
      </c>
      <c r="B12">
        <v>7883</v>
      </c>
      <c r="C12" t="s">
        <v>2360</v>
      </c>
      <c r="D12">
        <v>5697</v>
      </c>
      <c r="E12" t="s">
        <v>2201</v>
      </c>
      <c r="F12" t="s">
        <v>2361</v>
      </c>
      <c r="G12">
        <v>2022</v>
      </c>
      <c r="H12">
        <v>5</v>
      </c>
      <c r="I12" s="8">
        <v>44682</v>
      </c>
      <c r="J12">
        <v>2269.44</v>
      </c>
      <c r="K12">
        <v>186.62</v>
      </c>
      <c r="L12">
        <v>77246</v>
      </c>
      <c r="M12">
        <v>323</v>
      </c>
      <c r="N12">
        <v>8950</v>
      </c>
      <c r="O12">
        <v>0</v>
      </c>
      <c r="P12">
        <v>12419</v>
      </c>
      <c r="Q12">
        <v>11.83</v>
      </c>
      <c r="R12">
        <v>21.22</v>
      </c>
      <c r="S12">
        <v>14.37</v>
      </c>
      <c r="T12">
        <v>313.3</v>
      </c>
      <c r="U12">
        <v>759.39</v>
      </c>
      <c r="V12">
        <v>0</v>
      </c>
      <c r="W12">
        <v>0</v>
      </c>
      <c r="X12">
        <v>35485.620000000003</v>
      </c>
      <c r="AA12" s="232">
        <f t="shared" si="0"/>
        <v>31922.218129999997</v>
      </c>
      <c r="AB12" s="232">
        <f t="shared" si="1"/>
        <v>2804.0349999999999</v>
      </c>
    </row>
    <row r="13" spans="1:28">
      <c r="A13" t="s">
        <v>2373</v>
      </c>
      <c r="B13">
        <v>7883</v>
      </c>
      <c r="C13" t="s">
        <v>2360</v>
      </c>
      <c r="D13">
        <v>5697</v>
      </c>
      <c r="E13" t="s">
        <v>2201</v>
      </c>
      <c r="F13" t="s">
        <v>2361</v>
      </c>
      <c r="G13">
        <v>2022</v>
      </c>
      <c r="H13">
        <v>6</v>
      </c>
      <c r="I13" s="8">
        <v>44713</v>
      </c>
      <c r="J13">
        <v>2257.92</v>
      </c>
      <c r="K13">
        <v>304.12</v>
      </c>
      <c r="L13">
        <v>94698</v>
      </c>
      <c r="M13">
        <v>1855</v>
      </c>
      <c r="N13">
        <v>8950</v>
      </c>
      <c r="O13">
        <v>0</v>
      </c>
      <c r="P13">
        <v>14088</v>
      </c>
      <c r="Q13">
        <v>11.83</v>
      </c>
      <c r="R13">
        <v>21.22</v>
      </c>
      <c r="S13">
        <v>14.37</v>
      </c>
      <c r="T13">
        <v>313.3</v>
      </c>
      <c r="U13">
        <v>1214.98</v>
      </c>
      <c r="V13">
        <v>0</v>
      </c>
      <c r="W13">
        <v>-3623.43</v>
      </c>
      <c r="X13">
        <v>34947.65</v>
      </c>
      <c r="AA13" s="232">
        <f t="shared" si="0"/>
        <v>34552.086610000006</v>
      </c>
      <c r="AB13" s="232">
        <f t="shared" si="1"/>
        <v>2804.0349999999999</v>
      </c>
    </row>
    <row r="14" spans="1:28">
      <c r="A14" t="s">
        <v>2374</v>
      </c>
      <c r="B14">
        <v>7883</v>
      </c>
      <c r="C14" t="s">
        <v>2360</v>
      </c>
      <c r="D14">
        <v>5697</v>
      </c>
      <c r="E14" t="s">
        <v>2201</v>
      </c>
      <c r="F14" t="s">
        <v>2361</v>
      </c>
      <c r="G14">
        <v>2022</v>
      </c>
      <c r="H14">
        <v>7</v>
      </c>
      <c r="I14" s="8">
        <v>44743</v>
      </c>
      <c r="J14">
        <v>2592</v>
      </c>
      <c r="K14">
        <v>1073.6600000000001</v>
      </c>
      <c r="L14">
        <v>48381</v>
      </c>
      <c r="M14">
        <v>566</v>
      </c>
      <c r="N14">
        <v>8950</v>
      </c>
      <c r="O14">
        <v>0</v>
      </c>
      <c r="P14">
        <v>14078</v>
      </c>
      <c r="Q14">
        <v>11.83</v>
      </c>
      <c r="R14">
        <v>21.22</v>
      </c>
      <c r="S14">
        <v>14.37</v>
      </c>
      <c r="T14">
        <v>313.3</v>
      </c>
      <c r="U14">
        <v>2342.19</v>
      </c>
      <c r="V14">
        <v>0</v>
      </c>
      <c r="W14">
        <v>0</v>
      </c>
      <c r="X14">
        <v>59296</v>
      </c>
      <c r="AA14" s="232">
        <f t="shared" si="0"/>
        <v>54149.793590000001</v>
      </c>
      <c r="AB14" s="232">
        <f t="shared" si="1"/>
        <v>2804.0349999999999</v>
      </c>
    </row>
    <row r="15" spans="1:28">
      <c r="A15" t="s">
        <v>2394</v>
      </c>
      <c r="B15">
        <v>7883</v>
      </c>
      <c r="C15" t="s">
        <v>2360</v>
      </c>
      <c r="D15">
        <v>5697</v>
      </c>
      <c r="E15" t="s">
        <v>2201</v>
      </c>
      <c r="F15" t="s">
        <v>2361</v>
      </c>
      <c r="G15">
        <v>2022</v>
      </c>
      <c r="H15">
        <v>8</v>
      </c>
      <c r="I15" s="8">
        <v>44774</v>
      </c>
      <c r="J15">
        <v>2502.14</v>
      </c>
      <c r="K15">
        <v>974.59</v>
      </c>
      <c r="L15">
        <v>330258</v>
      </c>
      <c r="M15">
        <v>24340</v>
      </c>
      <c r="N15">
        <v>8950</v>
      </c>
      <c r="O15">
        <v>0</v>
      </c>
      <c r="P15">
        <v>14586</v>
      </c>
      <c r="Q15">
        <v>11.83</v>
      </c>
      <c r="R15">
        <v>21.22</v>
      </c>
      <c r="S15">
        <v>14.37</v>
      </c>
      <c r="T15">
        <v>313.3</v>
      </c>
      <c r="U15">
        <v>3068.6</v>
      </c>
      <c r="V15">
        <v>0</v>
      </c>
      <c r="W15">
        <v>-472.84</v>
      </c>
      <c r="X15">
        <v>60776.45</v>
      </c>
      <c r="AA15" s="232">
        <f t="shared" si="0"/>
        <v>55376.689259999992</v>
      </c>
      <c r="AB15" s="232">
        <f t="shared" si="1"/>
        <v>2804.0349999999999</v>
      </c>
    </row>
    <row r="16" spans="1:28">
      <c r="A16" t="s">
        <v>2375</v>
      </c>
      <c r="B16">
        <v>7883</v>
      </c>
      <c r="C16" t="s">
        <v>2360</v>
      </c>
      <c r="D16">
        <v>5697</v>
      </c>
      <c r="E16" t="s">
        <v>2201</v>
      </c>
      <c r="F16" t="s">
        <v>2361</v>
      </c>
      <c r="G16">
        <v>2021</v>
      </c>
      <c r="H16">
        <v>6</v>
      </c>
      <c r="I16" s="8">
        <v>44348</v>
      </c>
      <c r="J16">
        <v>2679.55</v>
      </c>
      <c r="K16">
        <v>1287.93</v>
      </c>
      <c r="L16">
        <v>836753</v>
      </c>
      <c r="M16">
        <v>65046</v>
      </c>
      <c r="N16">
        <v>816778.05</v>
      </c>
      <c r="O16">
        <v>64449.760000000002</v>
      </c>
      <c r="P16">
        <v>14198</v>
      </c>
      <c r="Q16">
        <v>12.33</v>
      </c>
      <c r="R16">
        <v>23.94</v>
      </c>
      <c r="S16">
        <v>10.17</v>
      </c>
      <c r="T16">
        <v>203.32</v>
      </c>
      <c r="U16">
        <v>16699.54</v>
      </c>
      <c r="V16">
        <v>0</v>
      </c>
      <c r="W16">
        <v>-9363.07</v>
      </c>
      <c r="X16">
        <v>259550.71</v>
      </c>
      <c r="AA16" s="232">
        <f t="shared" si="0"/>
        <v>73043.191530000011</v>
      </c>
      <c r="AB16" s="232">
        <f t="shared" si="1"/>
        <v>179171.23832920002</v>
      </c>
    </row>
    <row r="17" spans="27:28">
      <c r="AA17" s="232">
        <f t="shared" si="0"/>
        <v>0</v>
      </c>
      <c r="AB17" s="232">
        <f t="shared" si="1"/>
        <v>0</v>
      </c>
    </row>
    <row r="18" spans="27:28">
      <c r="AA18" s="232">
        <f t="shared" si="0"/>
        <v>0</v>
      </c>
      <c r="AB18" s="232">
        <f t="shared" si="1"/>
        <v>0</v>
      </c>
    </row>
    <row r="19" spans="27:28">
      <c r="AA19" s="232">
        <f t="shared" si="0"/>
        <v>0</v>
      </c>
      <c r="AB19" s="232">
        <f t="shared" si="1"/>
        <v>0</v>
      </c>
    </row>
    <row r="20" spans="27:28">
      <c r="AA20" s="232">
        <f t="shared" si="0"/>
        <v>0</v>
      </c>
      <c r="AB20" s="232">
        <f t="shared" si="1"/>
        <v>0</v>
      </c>
    </row>
    <row r="21" spans="27:28">
      <c r="AA21" s="232">
        <f t="shared" si="0"/>
        <v>0</v>
      </c>
      <c r="AB21" s="232">
        <f t="shared" si="1"/>
        <v>0</v>
      </c>
    </row>
    <row r="22" spans="27:28">
      <c r="AA22" s="232">
        <f t="shared" si="0"/>
        <v>0</v>
      </c>
      <c r="AB22" s="232">
        <f t="shared" si="1"/>
        <v>0</v>
      </c>
    </row>
    <row r="23" spans="27:28">
      <c r="AA23" s="232">
        <f t="shared" si="0"/>
        <v>0</v>
      </c>
      <c r="AB23" s="232">
        <f t="shared" si="1"/>
        <v>0</v>
      </c>
    </row>
    <row r="24" spans="27:28">
      <c r="AA24" s="232">
        <f t="shared" si="0"/>
        <v>0</v>
      </c>
      <c r="AB24" s="232">
        <f t="shared" si="1"/>
        <v>0</v>
      </c>
    </row>
    <row r="25" spans="27:28">
      <c r="AA25" s="232">
        <f t="shared" si="0"/>
        <v>0</v>
      </c>
      <c r="AB25" s="232">
        <f t="shared" si="1"/>
        <v>0</v>
      </c>
    </row>
    <row r="26" spans="27:28">
      <c r="AA26" s="232">
        <f t="shared" si="0"/>
        <v>0</v>
      </c>
      <c r="AB26" s="232">
        <f t="shared" si="1"/>
        <v>0</v>
      </c>
    </row>
    <row r="27" spans="27:28">
      <c r="AA27" s="232">
        <f t="shared" si="0"/>
        <v>0</v>
      </c>
      <c r="AB27" s="232">
        <f t="shared" si="1"/>
        <v>0</v>
      </c>
    </row>
    <row r="28" spans="27:28">
      <c r="AA28" s="232">
        <f t="shared" si="0"/>
        <v>0</v>
      </c>
      <c r="AB28" s="232">
        <f t="shared" si="1"/>
        <v>0</v>
      </c>
    </row>
    <row r="29" spans="27:28">
      <c r="AA29" s="232">
        <f t="shared" si="0"/>
        <v>0</v>
      </c>
      <c r="AB29" s="232">
        <f t="shared" si="1"/>
        <v>0</v>
      </c>
    </row>
    <row r="30" spans="27:28">
      <c r="AA30" s="232">
        <f t="shared" si="0"/>
        <v>0</v>
      </c>
      <c r="AB30" s="232">
        <f t="shared" si="1"/>
        <v>0</v>
      </c>
    </row>
    <row r="31" spans="27:28">
      <c r="AA31" s="232">
        <f t="shared" si="0"/>
        <v>0</v>
      </c>
      <c r="AB31" s="232">
        <f t="shared" si="1"/>
        <v>0</v>
      </c>
    </row>
    <row r="32" spans="27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26"/>
  <sheetViews>
    <sheetView topLeftCell="V1" zoomScaleNormal="10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0" t="s">
        <v>169</v>
      </c>
      <c r="K1" s="720" t="s">
        <v>175</v>
      </c>
      <c r="L1" s="720" t="s">
        <v>174</v>
      </c>
      <c r="M1" s="720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7883</v>
      </c>
      <c r="B2" t="s">
        <v>2360</v>
      </c>
      <c r="C2">
        <v>5697</v>
      </c>
      <c r="D2" t="s">
        <v>2201</v>
      </c>
      <c r="E2" t="s">
        <v>2361</v>
      </c>
      <c r="F2">
        <v>202107</v>
      </c>
      <c r="G2" t="s">
        <v>190</v>
      </c>
      <c r="H2">
        <v>819433.77</v>
      </c>
      <c r="J2" s="721">
        <f>CAPA!K12</f>
        <v>7883</v>
      </c>
      <c r="K2" s="721" t="s">
        <v>177</v>
      </c>
      <c r="L2" s="721" t="str">
        <f>"&gt;="&amp;K6</f>
        <v>&gt;=202109</v>
      </c>
      <c r="M2" s="721" t="str">
        <f>"&lt;="&amp;K7</f>
        <v>&lt;=202208</v>
      </c>
      <c r="O2">
        <v>7883</v>
      </c>
      <c r="P2" t="s">
        <v>2360</v>
      </c>
      <c r="Q2">
        <v>5697</v>
      </c>
      <c r="R2" t="s">
        <v>2201</v>
      </c>
      <c r="S2" t="s">
        <v>2361</v>
      </c>
      <c r="T2">
        <v>202109</v>
      </c>
      <c r="U2" t="s">
        <v>190</v>
      </c>
      <c r="V2">
        <v>874322</v>
      </c>
      <c r="X2">
        <v>5697</v>
      </c>
      <c r="Y2" t="s">
        <v>2201</v>
      </c>
      <c r="Z2" t="s">
        <v>2361</v>
      </c>
      <c r="AB2">
        <v>5697</v>
      </c>
      <c r="AC2" t="s">
        <v>2201</v>
      </c>
      <c r="AD2" t="s">
        <v>2361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7883</v>
      </c>
      <c r="B3" t="s">
        <v>2360</v>
      </c>
      <c r="C3">
        <v>5697</v>
      </c>
      <c r="D3" t="s">
        <v>2201</v>
      </c>
      <c r="E3" t="s">
        <v>2361</v>
      </c>
      <c r="F3">
        <v>202107</v>
      </c>
      <c r="G3" t="s">
        <v>191</v>
      </c>
      <c r="H3">
        <v>68314.61</v>
      </c>
      <c r="J3" s="721">
        <f>J2</f>
        <v>7883</v>
      </c>
      <c r="K3" s="721" t="s">
        <v>179</v>
      </c>
      <c r="L3" s="721" t="str">
        <f>L2</f>
        <v>&gt;=202109</v>
      </c>
      <c r="M3" s="721" t="str">
        <f>M2</f>
        <v>&lt;=202208</v>
      </c>
      <c r="O3">
        <v>7883</v>
      </c>
      <c r="P3" t="s">
        <v>2360</v>
      </c>
      <c r="Q3">
        <v>5697</v>
      </c>
      <c r="R3" t="s">
        <v>2201</v>
      </c>
      <c r="S3" t="s">
        <v>2361</v>
      </c>
      <c r="T3">
        <v>202109</v>
      </c>
      <c r="U3" t="s">
        <v>191</v>
      </c>
      <c r="V3">
        <v>78413</v>
      </c>
      <c r="AB3">
        <v>5697</v>
      </c>
      <c r="AC3" t="s">
        <v>2201</v>
      </c>
      <c r="AD3" t="s">
        <v>2361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7883</v>
      </c>
      <c r="B4" t="s">
        <v>2360</v>
      </c>
      <c r="C4">
        <v>5697</v>
      </c>
      <c r="D4" t="s">
        <v>2201</v>
      </c>
      <c r="E4" t="s">
        <v>2361</v>
      </c>
      <c r="F4">
        <v>202107</v>
      </c>
      <c r="G4" t="s">
        <v>176</v>
      </c>
      <c r="H4">
        <v>0</v>
      </c>
      <c r="J4" s="723">
        <f>J3</f>
        <v>7883</v>
      </c>
      <c r="K4" s="721" t="s">
        <v>181</v>
      </c>
      <c r="L4" s="722" t="str">
        <f>L2</f>
        <v>&gt;=202109</v>
      </c>
      <c r="M4" s="722" t="str">
        <f>M2</f>
        <v>&lt;=202208</v>
      </c>
      <c r="O4">
        <v>7883</v>
      </c>
      <c r="P4" t="s">
        <v>2360</v>
      </c>
      <c r="Q4">
        <v>5697</v>
      </c>
      <c r="R4" t="s">
        <v>2201</v>
      </c>
      <c r="S4" t="s">
        <v>2361</v>
      </c>
      <c r="T4">
        <v>202109</v>
      </c>
      <c r="U4" t="s">
        <v>178</v>
      </c>
      <c r="V4">
        <v>2709.5</v>
      </c>
      <c r="AB4">
        <v>5697</v>
      </c>
      <c r="AC4" t="s">
        <v>2201</v>
      </c>
      <c r="AD4" t="s">
        <v>2361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7883</v>
      </c>
      <c r="B5" t="s">
        <v>2360</v>
      </c>
      <c r="C5">
        <v>5697</v>
      </c>
      <c r="D5" t="s">
        <v>2201</v>
      </c>
      <c r="E5" t="s">
        <v>2361</v>
      </c>
      <c r="F5">
        <v>202107</v>
      </c>
      <c r="G5" t="s">
        <v>178</v>
      </c>
      <c r="H5">
        <v>2631.16</v>
      </c>
      <c r="J5" s="723">
        <f>J4</f>
        <v>7883</v>
      </c>
      <c r="K5" s="902" t="s">
        <v>183</v>
      </c>
      <c r="L5" s="722" t="str">
        <f>L3</f>
        <v>&gt;=202109</v>
      </c>
      <c r="M5" s="722" t="str">
        <f>M3</f>
        <v>&lt;=202208</v>
      </c>
      <c r="O5">
        <v>7883</v>
      </c>
      <c r="P5" t="s">
        <v>2360</v>
      </c>
      <c r="Q5">
        <v>5697</v>
      </c>
      <c r="R5" t="s">
        <v>2201</v>
      </c>
      <c r="S5" t="s">
        <v>2361</v>
      </c>
      <c r="T5">
        <v>202109</v>
      </c>
      <c r="U5" t="s">
        <v>180</v>
      </c>
      <c r="V5">
        <v>1271.8</v>
      </c>
      <c r="AB5">
        <v>5697</v>
      </c>
      <c r="AC5" t="s">
        <v>2201</v>
      </c>
      <c r="AD5" t="s">
        <v>2361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7883</v>
      </c>
      <c r="B6" t="s">
        <v>2360</v>
      </c>
      <c r="C6">
        <v>5697</v>
      </c>
      <c r="D6" t="s">
        <v>2201</v>
      </c>
      <c r="E6" t="s">
        <v>2361</v>
      </c>
      <c r="F6">
        <v>202107</v>
      </c>
      <c r="G6" t="s">
        <v>180</v>
      </c>
      <c r="H6">
        <v>1274.1099999999999</v>
      </c>
      <c r="J6" t="s">
        <v>185</v>
      </c>
      <c r="K6">
        <f>(YEAR(SAS_RA0_DataInicio)*100+MONTH(SAS_RA0_DataInicio))</f>
        <v>202109</v>
      </c>
      <c r="O6">
        <v>7883</v>
      </c>
      <c r="P6" t="s">
        <v>2360</v>
      </c>
      <c r="Q6">
        <v>5697</v>
      </c>
      <c r="R6" t="s">
        <v>2201</v>
      </c>
      <c r="S6" t="s">
        <v>2361</v>
      </c>
      <c r="T6">
        <v>202109</v>
      </c>
      <c r="U6" t="s">
        <v>182</v>
      </c>
      <c r="V6">
        <v>678195</v>
      </c>
      <c r="AB6">
        <v>5697</v>
      </c>
      <c r="AC6" t="s">
        <v>2201</v>
      </c>
      <c r="AD6" t="s">
        <v>2361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7883</v>
      </c>
      <c r="B7" t="s">
        <v>2360</v>
      </c>
      <c r="C7">
        <v>5697</v>
      </c>
      <c r="D7" t="s">
        <v>2201</v>
      </c>
      <c r="E7" t="s">
        <v>2361</v>
      </c>
      <c r="F7">
        <v>202107</v>
      </c>
      <c r="G7" t="s">
        <v>182</v>
      </c>
      <c r="H7">
        <v>324221.76</v>
      </c>
      <c r="J7" t="s">
        <v>187</v>
      </c>
      <c r="K7">
        <f>YEAR(SAS_RA0_DataFim)*100+MONTH(SAS_RA0_DataFim)</f>
        <v>202208</v>
      </c>
      <c r="O7">
        <v>7883</v>
      </c>
      <c r="P7" t="s">
        <v>2360</v>
      </c>
      <c r="Q7">
        <v>5697</v>
      </c>
      <c r="R7" t="s">
        <v>2201</v>
      </c>
      <c r="S7" t="s">
        <v>2361</v>
      </c>
      <c r="T7">
        <v>202109</v>
      </c>
      <c r="U7" t="s">
        <v>184</v>
      </c>
      <c r="V7">
        <v>59046</v>
      </c>
      <c r="AI7">
        <f t="shared" si="0"/>
        <v>0</v>
      </c>
      <c r="AJ7" t="str">
        <f t="shared" si="1"/>
        <v>Nada</v>
      </c>
    </row>
    <row r="8" spans="1:36">
      <c r="A8">
        <v>7883</v>
      </c>
      <c r="B8" t="s">
        <v>2360</v>
      </c>
      <c r="C8">
        <v>5697</v>
      </c>
      <c r="D8" t="s">
        <v>2201</v>
      </c>
      <c r="E8" t="s">
        <v>2361</v>
      </c>
      <c r="F8">
        <v>202107</v>
      </c>
      <c r="G8" t="s">
        <v>184</v>
      </c>
      <c r="H8">
        <v>16147.58</v>
      </c>
      <c r="J8" t="s">
        <v>188</v>
      </c>
      <c r="K8" s="629">
        <f>MAX(AI:AI)</f>
        <v>202208</v>
      </c>
      <c r="O8">
        <v>7883</v>
      </c>
      <c r="P8" t="s">
        <v>2360</v>
      </c>
      <c r="Q8">
        <v>5697</v>
      </c>
      <c r="R8" t="s">
        <v>2201</v>
      </c>
      <c r="S8" t="s">
        <v>2361</v>
      </c>
      <c r="T8">
        <v>202109</v>
      </c>
      <c r="U8" t="s">
        <v>186</v>
      </c>
      <c r="V8">
        <v>14802</v>
      </c>
      <c r="AI8">
        <f t="shared" si="0"/>
        <v>0</v>
      </c>
      <c r="AJ8" t="str">
        <f t="shared" si="1"/>
        <v>Nada</v>
      </c>
    </row>
    <row r="9" spans="1:36">
      <c r="A9">
        <v>7883</v>
      </c>
      <c r="B9" t="s">
        <v>2360</v>
      </c>
      <c r="C9">
        <v>5697</v>
      </c>
      <c r="D9" t="s">
        <v>2201</v>
      </c>
      <c r="E9" t="s">
        <v>2361</v>
      </c>
      <c r="F9">
        <v>202107</v>
      </c>
      <c r="G9" t="s">
        <v>192</v>
      </c>
      <c r="H9">
        <v>0</v>
      </c>
      <c r="J9" t="s">
        <v>189</v>
      </c>
      <c r="K9" s="629">
        <f>MAX(AJ:AJ)</f>
        <v>0</v>
      </c>
      <c r="O9">
        <v>7883</v>
      </c>
      <c r="P9" t="s">
        <v>2360</v>
      </c>
      <c r="Q9">
        <v>5697</v>
      </c>
      <c r="R9" t="s">
        <v>2201</v>
      </c>
      <c r="S9" t="s">
        <v>2361</v>
      </c>
      <c r="T9">
        <v>202110</v>
      </c>
      <c r="U9" t="s">
        <v>190</v>
      </c>
      <c r="V9">
        <v>794108.93</v>
      </c>
    </row>
    <row r="10" spans="1:36">
      <c r="A10">
        <v>7883</v>
      </c>
      <c r="B10" t="s">
        <v>2360</v>
      </c>
      <c r="C10">
        <v>5697</v>
      </c>
      <c r="D10" t="s">
        <v>2201</v>
      </c>
      <c r="E10" t="s">
        <v>2361</v>
      </c>
      <c r="F10">
        <v>202107</v>
      </c>
      <c r="G10" t="s">
        <v>2170</v>
      </c>
      <c r="H10">
        <v>8293.9699999999993</v>
      </c>
      <c r="O10">
        <v>7883</v>
      </c>
      <c r="P10" t="s">
        <v>2360</v>
      </c>
      <c r="Q10">
        <v>5697</v>
      </c>
      <c r="R10" t="s">
        <v>2201</v>
      </c>
      <c r="S10" t="s">
        <v>2361</v>
      </c>
      <c r="T10">
        <v>202110</v>
      </c>
      <c r="U10" t="s">
        <v>191</v>
      </c>
      <c r="V10">
        <v>72543.11</v>
      </c>
    </row>
    <row r="11" spans="1:36">
      <c r="A11">
        <v>7883</v>
      </c>
      <c r="B11" t="s">
        <v>2360</v>
      </c>
      <c r="C11">
        <v>5697</v>
      </c>
      <c r="D11" t="s">
        <v>2201</v>
      </c>
      <c r="E11" t="s">
        <v>2361</v>
      </c>
      <c r="F11">
        <v>202107</v>
      </c>
      <c r="G11" t="s">
        <v>186</v>
      </c>
      <c r="H11">
        <v>13833</v>
      </c>
      <c r="J11" s="780">
        <f>VALUE(A2)</f>
        <v>7883</v>
      </c>
      <c r="O11">
        <v>7883</v>
      </c>
      <c r="P11" t="s">
        <v>2360</v>
      </c>
      <c r="Q11">
        <v>5697</v>
      </c>
      <c r="R11" t="s">
        <v>2201</v>
      </c>
      <c r="S11" t="s">
        <v>2361</v>
      </c>
      <c r="T11">
        <v>202110</v>
      </c>
      <c r="U11" t="s">
        <v>178</v>
      </c>
      <c r="V11">
        <v>2458.36</v>
      </c>
    </row>
    <row r="12" spans="1:36">
      <c r="A12">
        <v>7883</v>
      </c>
      <c r="B12" t="s">
        <v>2360</v>
      </c>
      <c r="C12">
        <v>5697</v>
      </c>
      <c r="D12" t="s">
        <v>2201</v>
      </c>
      <c r="E12" t="s">
        <v>2361</v>
      </c>
      <c r="F12">
        <v>202107</v>
      </c>
      <c r="G12" t="s">
        <v>2169</v>
      </c>
      <c r="H12">
        <v>203.32</v>
      </c>
      <c r="K12" s="8"/>
      <c r="O12">
        <v>7883</v>
      </c>
      <c r="P12" t="s">
        <v>2360</v>
      </c>
      <c r="Q12">
        <v>5697</v>
      </c>
      <c r="R12" t="s">
        <v>2201</v>
      </c>
      <c r="S12" t="s">
        <v>2361</v>
      </c>
      <c r="T12">
        <v>202110</v>
      </c>
      <c r="U12" t="s">
        <v>180</v>
      </c>
      <c r="V12">
        <v>1232.6400000000001</v>
      </c>
    </row>
    <row r="13" spans="1:36">
      <c r="A13">
        <v>7883</v>
      </c>
      <c r="B13" t="s">
        <v>2360</v>
      </c>
      <c r="C13">
        <v>5697</v>
      </c>
      <c r="D13" t="s">
        <v>2201</v>
      </c>
      <c r="E13" t="s">
        <v>2361</v>
      </c>
      <c r="F13">
        <v>202107</v>
      </c>
      <c r="G13" t="s">
        <v>2166</v>
      </c>
      <c r="H13">
        <v>12.33</v>
      </c>
      <c r="O13">
        <v>7883</v>
      </c>
      <c r="P13" t="s">
        <v>2360</v>
      </c>
      <c r="Q13">
        <v>5697</v>
      </c>
      <c r="R13" t="s">
        <v>2201</v>
      </c>
      <c r="S13" t="s">
        <v>2361</v>
      </c>
      <c r="T13">
        <v>202110</v>
      </c>
      <c r="U13" t="s">
        <v>182</v>
      </c>
      <c r="V13">
        <v>409977</v>
      </c>
    </row>
    <row r="14" spans="1:36">
      <c r="A14">
        <v>7883</v>
      </c>
      <c r="B14" t="s">
        <v>2360</v>
      </c>
      <c r="C14">
        <v>5697</v>
      </c>
      <c r="D14" t="s">
        <v>2201</v>
      </c>
      <c r="E14" t="s">
        <v>2361</v>
      </c>
      <c r="F14">
        <v>202107</v>
      </c>
      <c r="G14" t="s">
        <v>2167</v>
      </c>
      <c r="H14">
        <v>23.94</v>
      </c>
      <c r="O14">
        <v>7883</v>
      </c>
      <c r="P14" t="s">
        <v>2360</v>
      </c>
      <c r="Q14">
        <v>5697</v>
      </c>
      <c r="R14" t="s">
        <v>2201</v>
      </c>
      <c r="S14" t="s">
        <v>2361</v>
      </c>
      <c r="T14">
        <v>202110</v>
      </c>
      <c r="U14" t="s">
        <v>184</v>
      </c>
      <c r="V14">
        <v>34108</v>
      </c>
    </row>
    <row r="15" spans="1:36">
      <c r="A15">
        <v>7883</v>
      </c>
      <c r="B15" t="s">
        <v>2360</v>
      </c>
      <c r="C15">
        <v>5697</v>
      </c>
      <c r="D15" t="s">
        <v>2201</v>
      </c>
      <c r="E15" t="s">
        <v>2361</v>
      </c>
      <c r="F15">
        <v>202107</v>
      </c>
      <c r="G15" t="s">
        <v>2168</v>
      </c>
      <c r="H15">
        <v>10.17</v>
      </c>
      <c r="O15">
        <v>7883</v>
      </c>
      <c r="P15" t="s">
        <v>2360</v>
      </c>
      <c r="Q15">
        <v>5697</v>
      </c>
      <c r="R15" t="s">
        <v>2201</v>
      </c>
      <c r="S15" t="s">
        <v>2361</v>
      </c>
      <c r="T15">
        <v>202110</v>
      </c>
      <c r="U15" t="s">
        <v>186</v>
      </c>
      <c r="V15">
        <v>14798</v>
      </c>
    </row>
    <row r="16" spans="1:36">
      <c r="A16">
        <v>7883</v>
      </c>
      <c r="B16" t="s">
        <v>2360</v>
      </c>
      <c r="C16">
        <v>5697</v>
      </c>
      <c r="D16" t="s">
        <v>2201</v>
      </c>
      <c r="E16" t="s">
        <v>2361</v>
      </c>
      <c r="F16">
        <v>202107</v>
      </c>
      <c r="G16" t="s">
        <v>2171</v>
      </c>
      <c r="H16">
        <v>255198.64</v>
      </c>
      <c r="O16">
        <v>7883</v>
      </c>
      <c r="P16" t="s">
        <v>2360</v>
      </c>
      <c r="Q16">
        <v>5697</v>
      </c>
      <c r="R16" t="s">
        <v>2201</v>
      </c>
      <c r="S16" t="s">
        <v>2361</v>
      </c>
      <c r="T16">
        <v>202111</v>
      </c>
      <c r="U16" t="s">
        <v>190</v>
      </c>
      <c r="V16">
        <v>821759.43</v>
      </c>
    </row>
    <row r="17" spans="1:22">
      <c r="A17">
        <v>7883</v>
      </c>
      <c r="B17" t="s">
        <v>2360</v>
      </c>
      <c r="C17">
        <v>5697</v>
      </c>
      <c r="D17" t="s">
        <v>2201</v>
      </c>
      <c r="E17" t="s">
        <v>2361</v>
      </c>
      <c r="F17">
        <v>202108</v>
      </c>
      <c r="G17" t="s">
        <v>190</v>
      </c>
      <c r="H17">
        <v>864045.34</v>
      </c>
      <c r="O17">
        <v>7883</v>
      </c>
      <c r="P17" t="s">
        <v>2360</v>
      </c>
      <c r="Q17">
        <v>5697</v>
      </c>
      <c r="R17" t="s">
        <v>2201</v>
      </c>
      <c r="S17" t="s">
        <v>2361</v>
      </c>
      <c r="T17">
        <v>202111</v>
      </c>
      <c r="U17" t="s">
        <v>191</v>
      </c>
      <c r="V17">
        <v>66078.490000000005</v>
      </c>
    </row>
    <row r="18" spans="1:22">
      <c r="A18">
        <v>7883</v>
      </c>
      <c r="B18" t="s">
        <v>2360</v>
      </c>
      <c r="C18">
        <v>5697</v>
      </c>
      <c r="D18" t="s">
        <v>2201</v>
      </c>
      <c r="E18" t="s">
        <v>2361</v>
      </c>
      <c r="F18">
        <v>202108</v>
      </c>
      <c r="G18" t="s">
        <v>191</v>
      </c>
      <c r="H18">
        <v>76868.149999999994</v>
      </c>
      <c r="O18">
        <v>7883</v>
      </c>
      <c r="P18" t="s">
        <v>2360</v>
      </c>
      <c r="Q18">
        <v>5697</v>
      </c>
      <c r="R18" t="s">
        <v>2201</v>
      </c>
      <c r="S18" t="s">
        <v>2361</v>
      </c>
      <c r="T18">
        <v>202111</v>
      </c>
      <c r="U18" t="s">
        <v>178</v>
      </c>
      <c r="V18">
        <v>2628.86</v>
      </c>
    </row>
    <row r="19" spans="1:22">
      <c r="A19">
        <v>7883</v>
      </c>
      <c r="B19" t="s">
        <v>2360</v>
      </c>
      <c r="C19">
        <v>5697</v>
      </c>
      <c r="D19" t="s">
        <v>2201</v>
      </c>
      <c r="E19" t="s">
        <v>2361</v>
      </c>
      <c r="F19">
        <v>202108</v>
      </c>
      <c r="G19" t="s">
        <v>176</v>
      </c>
      <c r="H19">
        <v>0</v>
      </c>
      <c r="O19">
        <v>7883</v>
      </c>
      <c r="P19" t="s">
        <v>2360</v>
      </c>
      <c r="Q19">
        <v>5697</v>
      </c>
      <c r="R19" t="s">
        <v>2201</v>
      </c>
      <c r="S19" t="s">
        <v>2361</v>
      </c>
      <c r="T19">
        <v>202111</v>
      </c>
      <c r="U19" t="s">
        <v>180</v>
      </c>
      <c r="V19">
        <v>1204.99</v>
      </c>
    </row>
    <row r="20" spans="1:22">
      <c r="A20">
        <v>7883</v>
      </c>
      <c r="B20" t="s">
        <v>2360</v>
      </c>
      <c r="C20">
        <v>5697</v>
      </c>
      <c r="D20" t="s">
        <v>2201</v>
      </c>
      <c r="E20" t="s">
        <v>2361</v>
      </c>
      <c r="F20">
        <v>202108</v>
      </c>
      <c r="G20" t="s">
        <v>178</v>
      </c>
      <c r="H20">
        <v>2693.37</v>
      </c>
      <c r="O20">
        <v>7883</v>
      </c>
      <c r="P20" t="s">
        <v>2360</v>
      </c>
      <c r="Q20">
        <v>5697</v>
      </c>
      <c r="R20" t="s">
        <v>2201</v>
      </c>
      <c r="S20" t="s">
        <v>2361</v>
      </c>
      <c r="T20">
        <v>202111</v>
      </c>
      <c r="U20" t="s">
        <v>182</v>
      </c>
      <c r="V20">
        <v>120848.26</v>
      </c>
    </row>
    <row r="21" spans="1:22">
      <c r="A21">
        <v>7883</v>
      </c>
      <c r="B21" t="s">
        <v>2360</v>
      </c>
      <c r="C21">
        <v>5697</v>
      </c>
      <c r="D21" t="s">
        <v>2201</v>
      </c>
      <c r="E21" t="s">
        <v>2361</v>
      </c>
      <c r="F21">
        <v>202108</v>
      </c>
      <c r="G21" t="s">
        <v>180</v>
      </c>
      <c r="H21">
        <v>1147.3900000000001</v>
      </c>
      <c r="O21">
        <v>7883</v>
      </c>
      <c r="P21" t="s">
        <v>2360</v>
      </c>
      <c r="Q21">
        <v>5697</v>
      </c>
      <c r="R21" t="s">
        <v>2201</v>
      </c>
      <c r="S21" t="s">
        <v>2361</v>
      </c>
      <c r="T21">
        <v>202111</v>
      </c>
      <c r="U21" t="s">
        <v>184</v>
      </c>
      <c r="V21">
        <v>3662.78</v>
      </c>
    </row>
    <row r="22" spans="1:22">
      <c r="A22">
        <v>7883</v>
      </c>
      <c r="B22" t="s">
        <v>2360</v>
      </c>
      <c r="C22">
        <v>5697</v>
      </c>
      <c r="D22" t="s">
        <v>2201</v>
      </c>
      <c r="E22" t="s">
        <v>2361</v>
      </c>
      <c r="F22">
        <v>202108</v>
      </c>
      <c r="G22" t="s">
        <v>182</v>
      </c>
      <c r="H22">
        <v>388115.14</v>
      </c>
      <c r="O22">
        <v>7883</v>
      </c>
      <c r="P22" t="s">
        <v>2360</v>
      </c>
      <c r="Q22">
        <v>5697</v>
      </c>
      <c r="R22" t="s">
        <v>2201</v>
      </c>
      <c r="S22" t="s">
        <v>2361</v>
      </c>
      <c r="T22">
        <v>202111</v>
      </c>
      <c r="U22" t="s">
        <v>186</v>
      </c>
      <c r="V22">
        <v>15757</v>
      </c>
    </row>
    <row r="23" spans="1:22">
      <c r="A23">
        <v>7883</v>
      </c>
      <c r="B23" t="s">
        <v>2360</v>
      </c>
      <c r="C23">
        <v>5697</v>
      </c>
      <c r="D23" t="s">
        <v>2201</v>
      </c>
      <c r="E23" t="s">
        <v>2361</v>
      </c>
      <c r="F23">
        <v>202108</v>
      </c>
      <c r="G23" t="s">
        <v>184</v>
      </c>
      <c r="H23">
        <v>26205</v>
      </c>
      <c r="O23">
        <v>7883</v>
      </c>
      <c r="P23" t="s">
        <v>2360</v>
      </c>
      <c r="Q23">
        <v>5697</v>
      </c>
      <c r="R23" t="s">
        <v>2201</v>
      </c>
      <c r="S23" t="s">
        <v>2361</v>
      </c>
      <c r="T23">
        <v>202112</v>
      </c>
      <c r="U23" t="s">
        <v>190</v>
      </c>
      <c r="V23">
        <v>822364.62</v>
      </c>
    </row>
    <row r="24" spans="1:22">
      <c r="A24">
        <v>7883</v>
      </c>
      <c r="B24" t="s">
        <v>2360</v>
      </c>
      <c r="C24">
        <v>5697</v>
      </c>
      <c r="D24" t="s">
        <v>2201</v>
      </c>
      <c r="E24" t="s">
        <v>2361</v>
      </c>
      <c r="F24">
        <v>202108</v>
      </c>
      <c r="G24" t="s">
        <v>192</v>
      </c>
      <c r="H24">
        <v>0</v>
      </c>
      <c r="O24">
        <v>7883</v>
      </c>
      <c r="P24" t="s">
        <v>2360</v>
      </c>
      <c r="Q24">
        <v>5697</v>
      </c>
      <c r="R24" t="s">
        <v>2201</v>
      </c>
      <c r="S24" t="s">
        <v>2361</v>
      </c>
      <c r="T24">
        <v>202112</v>
      </c>
      <c r="U24" t="s">
        <v>191</v>
      </c>
      <c r="V24">
        <v>69399.8</v>
      </c>
    </row>
    <row r="25" spans="1:22">
      <c r="A25">
        <v>7883</v>
      </c>
      <c r="B25" t="s">
        <v>2360</v>
      </c>
      <c r="C25">
        <v>5697</v>
      </c>
      <c r="D25" t="s">
        <v>2201</v>
      </c>
      <c r="E25" t="s">
        <v>2361</v>
      </c>
      <c r="F25">
        <v>202108</v>
      </c>
      <c r="G25" t="s">
        <v>2170</v>
      </c>
      <c r="H25">
        <v>462</v>
      </c>
      <c r="O25">
        <v>7883</v>
      </c>
      <c r="P25" t="s">
        <v>2360</v>
      </c>
      <c r="Q25">
        <v>5697</v>
      </c>
      <c r="R25" t="s">
        <v>2201</v>
      </c>
      <c r="S25" t="s">
        <v>2361</v>
      </c>
      <c r="T25">
        <v>202112</v>
      </c>
      <c r="U25" t="s">
        <v>178</v>
      </c>
      <c r="V25">
        <v>2451.4499999999998</v>
      </c>
    </row>
    <row r="26" spans="1:22">
      <c r="A26">
        <v>7883</v>
      </c>
      <c r="B26" t="s">
        <v>2360</v>
      </c>
      <c r="C26">
        <v>5697</v>
      </c>
      <c r="D26" t="s">
        <v>2201</v>
      </c>
      <c r="E26" t="s">
        <v>2361</v>
      </c>
      <c r="F26">
        <v>202108</v>
      </c>
      <c r="G26" t="s">
        <v>186</v>
      </c>
      <c r="H26">
        <v>14222</v>
      </c>
      <c r="O26">
        <v>7883</v>
      </c>
      <c r="P26" t="s">
        <v>2360</v>
      </c>
      <c r="Q26">
        <v>5697</v>
      </c>
      <c r="R26" t="s">
        <v>2201</v>
      </c>
      <c r="S26" t="s">
        <v>2361</v>
      </c>
      <c r="T26">
        <v>202112</v>
      </c>
      <c r="U26" t="s">
        <v>180</v>
      </c>
      <c r="V26">
        <v>822.52</v>
      </c>
    </row>
    <row r="27" spans="1:22">
      <c r="A27">
        <v>7883</v>
      </c>
      <c r="B27" t="s">
        <v>2360</v>
      </c>
      <c r="C27">
        <v>5697</v>
      </c>
      <c r="D27" t="s">
        <v>2201</v>
      </c>
      <c r="E27" t="s">
        <v>2361</v>
      </c>
      <c r="F27">
        <v>202108</v>
      </c>
      <c r="G27" t="s">
        <v>2169</v>
      </c>
      <c r="H27">
        <v>203.32</v>
      </c>
      <c r="O27">
        <v>7883</v>
      </c>
      <c r="P27" t="s">
        <v>2360</v>
      </c>
      <c r="Q27">
        <v>5697</v>
      </c>
      <c r="R27" t="s">
        <v>2201</v>
      </c>
      <c r="S27" t="s">
        <v>2361</v>
      </c>
      <c r="T27">
        <v>202112</v>
      </c>
      <c r="U27" t="s">
        <v>182</v>
      </c>
      <c r="V27">
        <v>166593.60000000001</v>
      </c>
    </row>
    <row r="28" spans="1:22">
      <c r="A28">
        <v>7883</v>
      </c>
      <c r="B28" t="s">
        <v>2360</v>
      </c>
      <c r="C28">
        <v>5697</v>
      </c>
      <c r="D28" t="s">
        <v>2201</v>
      </c>
      <c r="E28" t="s">
        <v>2361</v>
      </c>
      <c r="F28">
        <v>202108</v>
      </c>
      <c r="G28" t="s">
        <v>2166</v>
      </c>
      <c r="H28">
        <v>12.33</v>
      </c>
      <c r="O28">
        <v>7883</v>
      </c>
      <c r="P28" t="s">
        <v>2360</v>
      </c>
      <c r="Q28">
        <v>5697</v>
      </c>
      <c r="R28" t="s">
        <v>2201</v>
      </c>
      <c r="S28" t="s">
        <v>2361</v>
      </c>
      <c r="T28">
        <v>202112</v>
      </c>
      <c r="U28" t="s">
        <v>184</v>
      </c>
      <c r="V28">
        <v>6224.83</v>
      </c>
    </row>
    <row r="29" spans="1:22">
      <c r="A29">
        <v>7883</v>
      </c>
      <c r="B29" t="s">
        <v>2360</v>
      </c>
      <c r="C29">
        <v>5697</v>
      </c>
      <c r="D29" t="s">
        <v>2201</v>
      </c>
      <c r="E29" t="s">
        <v>2361</v>
      </c>
      <c r="F29">
        <v>202108</v>
      </c>
      <c r="G29" t="s">
        <v>2167</v>
      </c>
      <c r="H29">
        <v>23.94</v>
      </c>
      <c r="O29">
        <v>7883</v>
      </c>
      <c r="P29" t="s">
        <v>2360</v>
      </c>
      <c r="Q29">
        <v>5697</v>
      </c>
      <c r="R29" t="s">
        <v>2201</v>
      </c>
      <c r="S29" t="s">
        <v>2361</v>
      </c>
      <c r="T29">
        <v>202112</v>
      </c>
      <c r="U29" t="s">
        <v>186</v>
      </c>
      <c r="V29">
        <v>15731</v>
      </c>
    </row>
    <row r="30" spans="1:22">
      <c r="A30">
        <v>7883</v>
      </c>
      <c r="B30" t="s">
        <v>2360</v>
      </c>
      <c r="C30">
        <v>5697</v>
      </c>
      <c r="D30" t="s">
        <v>2201</v>
      </c>
      <c r="E30" t="s">
        <v>2361</v>
      </c>
      <c r="F30">
        <v>202108</v>
      </c>
      <c r="G30" t="s">
        <v>2168</v>
      </c>
      <c r="H30">
        <v>10.17</v>
      </c>
      <c r="O30">
        <v>7883</v>
      </c>
      <c r="P30" t="s">
        <v>2360</v>
      </c>
      <c r="Q30">
        <v>5697</v>
      </c>
      <c r="R30" t="s">
        <v>2201</v>
      </c>
      <c r="S30" t="s">
        <v>2361</v>
      </c>
      <c r="T30">
        <v>202201</v>
      </c>
      <c r="U30" t="s">
        <v>190</v>
      </c>
      <c r="V30">
        <v>723792.29</v>
      </c>
    </row>
    <row r="31" spans="1:22">
      <c r="A31">
        <v>7883</v>
      </c>
      <c r="B31" t="s">
        <v>2360</v>
      </c>
      <c r="C31">
        <v>5697</v>
      </c>
      <c r="D31" t="s">
        <v>2201</v>
      </c>
      <c r="E31" t="s">
        <v>2361</v>
      </c>
      <c r="F31">
        <v>202108</v>
      </c>
      <c r="G31" t="s">
        <v>2171</v>
      </c>
      <c r="H31">
        <v>256659.8</v>
      </c>
      <c r="O31">
        <v>7883</v>
      </c>
      <c r="P31" t="s">
        <v>2360</v>
      </c>
      <c r="Q31">
        <v>5697</v>
      </c>
      <c r="R31" t="s">
        <v>2201</v>
      </c>
      <c r="S31" t="s">
        <v>2361</v>
      </c>
      <c r="T31">
        <v>202201</v>
      </c>
      <c r="U31" t="s">
        <v>191</v>
      </c>
      <c r="V31">
        <v>67709.8</v>
      </c>
    </row>
    <row r="32" spans="1:22">
      <c r="A32">
        <v>7883</v>
      </c>
      <c r="B32" t="s">
        <v>2360</v>
      </c>
      <c r="C32">
        <v>5697</v>
      </c>
      <c r="D32" t="s">
        <v>2201</v>
      </c>
      <c r="E32" t="s">
        <v>2361</v>
      </c>
      <c r="F32">
        <v>202109</v>
      </c>
      <c r="G32" t="s">
        <v>190</v>
      </c>
      <c r="H32">
        <v>874322</v>
      </c>
      <c r="O32">
        <v>7883</v>
      </c>
      <c r="P32" t="s">
        <v>2360</v>
      </c>
      <c r="Q32">
        <v>5697</v>
      </c>
      <c r="R32" t="s">
        <v>2201</v>
      </c>
      <c r="S32" t="s">
        <v>2361</v>
      </c>
      <c r="T32">
        <v>202201</v>
      </c>
      <c r="U32" t="s">
        <v>178</v>
      </c>
      <c r="V32">
        <v>2409.98</v>
      </c>
    </row>
    <row r="33" spans="1:22">
      <c r="A33">
        <v>7883</v>
      </c>
      <c r="B33" t="s">
        <v>2360</v>
      </c>
      <c r="C33">
        <v>5697</v>
      </c>
      <c r="D33" t="s">
        <v>2201</v>
      </c>
      <c r="E33" t="s">
        <v>2361</v>
      </c>
      <c r="F33">
        <v>202109</v>
      </c>
      <c r="G33" t="s">
        <v>191</v>
      </c>
      <c r="H33">
        <v>78413</v>
      </c>
      <c r="O33">
        <v>7883</v>
      </c>
      <c r="P33" t="s">
        <v>2360</v>
      </c>
      <c r="Q33">
        <v>5697</v>
      </c>
      <c r="R33" t="s">
        <v>2201</v>
      </c>
      <c r="S33" t="s">
        <v>2361</v>
      </c>
      <c r="T33">
        <v>202201</v>
      </c>
      <c r="U33" t="s">
        <v>180</v>
      </c>
      <c r="V33">
        <v>1022.97</v>
      </c>
    </row>
    <row r="34" spans="1:22">
      <c r="A34">
        <v>7883</v>
      </c>
      <c r="B34" t="s">
        <v>2360</v>
      </c>
      <c r="C34">
        <v>5697</v>
      </c>
      <c r="D34" t="s">
        <v>2201</v>
      </c>
      <c r="E34" t="s">
        <v>2361</v>
      </c>
      <c r="F34">
        <v>202109</v>
      </c>
      <c r="G34" t="s">
        <v>176</v>
      </c>
      <c r="H34">
        <v>0</v>
      </c>
      <c r="O34">
        <v>7883</v>
      </c>
      <c r="P34" t="s">
        <v>2360</v>
      </c>
      <c r="Q34">
        <v>5697</v>
      </c>
      <c r="R34" t="s">
        <v>2201</v>
      </c>
      <c r="S34" t="s">
        <v>2361</v>
      </c>
      <c r="T34">
        <v>202201</v>
      </c>
      <c r="U34" t="s">
        <v>182</v>
      </c>
      <c r="V34">
        <v>302467</v>
      </c>
    </row>
    <row r="35" spans="1:22">
      <c r="A35">
        <v>7883</v>
      </c>
      <c r="B35" t="s">
        <v>2360</v>
      </c>
      <c r="C35">
        <v>5697</v>
      </c>
      <c r="D35" t="s">
        <v>2201</v>
      </c>
      <c r="E35" t="s">
        <v>2361</v>
      </c>
      <c r="F35">
        <v>202109</v>
      </c>
      <c r="G35" t="s">
        <v>178</v>
      </c>
      <c r="H35">
        <v>2709.5</v>
      </c>
      <c r="O35">
        <v>7883</v>
      </c>
      <c r="P35" t="s">
        <v>2360</v>
      </c>
      <c r="Q35">
        <v>5697</v>
      </c>
      <c r="R35" t="s">
        <v>2201</v>
      </c>
      <c r="S35" t="s">
        <v>2361</v>
      </c>
      <c r="T35">
        <v>202201</v>
      </c>
      <c r="U35" t="s">
        <v>184</v>
      </c>
      <c r="V35">
        <v>21532</v>
      </c>
    </row>
    <row r="36" spans="1:22">
      <c r="A36">
        <v>7883</v>
      </c>
      <c r="B36" t="s">
        <v>2360</v>
      </c>
      <c r="C36">
        <v>5697</v>
      </c>
      <c r="D36" t="s">
        <v>2201</v>
      </c>
      <c r="E36" t="s">
        <v>2361</v>
      </c>
      <c r="F36">
        <v>202109</v>
      </c>
      <c r="G36" t="s">
        <v>180</v>
      </c>
      <c r="H36">
        <v>1271.8</v>
      </c>
      <c r="O36">
        <v>7883</v>
      </c>
      <c r="P36" t="s">
        <v>2360</v>
      </c>
      <c r="Q36">
        <v>5697</v>
      </c>
      <c r="R36" t="s">
        <v>2201</v>
      </c>
      <c r="S36" t="s">
        <v>2361</v>
      </c>
      <c r="T36">
        <v>202201</v>
      </c>
      <c r="U36" t="s">
        <v>186</v>
      </c>
      <c r="V36">
        <v>14345</v>
      </c>
    </row>
    <row r="37" spans="1:22">
      <c r="A37">
        <v>7883</v>
      </c>
      <c r="B37" t="s">
        <v>2360</v>
      </c>
      <c r="C37">
        <v>5697</v>
      </c>
      <c r="D37" t="s">
        <v>2201</v>
      </c>
      <c r="E37" t="s">
        <v>2361</v>
      </c>
      <c r="F37">
        <v>202109</v>
      </c>
      <c r="G37" t="s">
        <v>182</v>
      </c>
      <c r="H37">
        <v>678195</v>
      </c>
      <c r="O37">
        <v>7883</v>
      </c>
      <c r="P37" t="s">
        <v>2360</v>
      </c>
      <c r="Q37">
        <v>5697</v>
      </c>
      <c r="R37" t="s">
        <v>2201</v>
      </c>
      <c r="S37" t="s">
        <v>2361</v>
      </c>
      <c r="T37">
        <v>202202</v>
      </c>
      <c r="U37" t="s">
        <v>190</v>
      </c>
      <c r="V37">
        <v>8950</v>
      </c>
    </row>
    <row r="38" spans="1:22">
      <c r="A38">
        <v>7883</v>
      </c>
      <c r="B38" t="s">
        <v>2360</v>
      </c>
      <c r="C38">
        <v>5697</v>
      </c>
      <c r="D38" t="s">
        <v>2201</v>
      </c>
      <c r="E38" t="s">
        <v>2361</v>
      </c>
      <c r="F38">
        <v>202109</v>
      </c>
      <c r="G38" t="s">
        <v>184</v>
      </c>
      <c r="H38">
        <v>59046</v>
      </c>
      <c r="O38">
        <v>7883</v>
      </c>
      <c r="P38" t="s">
        <v>2360</v>
      </c>
      <c r="Q38">
        <v>5697</v>
      </c>
      <c r="R38" t="s">
        <v>2201</v>
      </c>
      <c r="S38" t="s">
        <v>2361</v>
      </c>
      <c r="T38">
        <v>202202</v>
      </c>
      <c r="U38" t="s">
        <v>191</v>
      </c>
      <c r="V38">
        <v>0</v>
      </c>
    </row>
    <row r="39" spans="1:22">
      <c r="A39">
        <v>7883</v>
      </c>
      <c r="B39" t="s">
        <v>2360</v>
      </c>
      <c r="C39">
        <v>5697</v>
      </c>
      <c r="D39" t="s">
        <v>2201</v>
      </c>
      <c r="E39" t="s">
        <v>2361</v>
      </c>
      <c r="F39">
        <v>202109</v>
      </c>
      <c r="G39" t="s">
        <v>192</v>
      </c>
      <c r="H39">
        <v>0</v>
      </c>
      <c r="O39">
        <v>7883</v>
      </c>
      <c r="P39" t="s">
        <v>2360</v>
      </c>
      <c r="Q39">
        <v>5697</v>
      </c>
      <c r="R39" t="s">
        <v>2201</v>
      </c>
      <c r="S39" t="s">
        <v>2361</v>
      </c>
      <c r="T39">
        <v>202202</v>
      </c>
      <c r="U39" t="s">
        <v>178</v>
      </c>
      <c r="V39">
        <v>2398.46</v>
      </c>
    </row>
    <row r="40" spans="1:22">
      <c r="A40">
        <v>7883</v>
      </c>
      <c r="B40" t="s">
        <v>2360</v>
      </c>
      <c r="C40">
        <v>5697</v>
      </c>
      <c r="D40" t="s">
        <v>2201</v>
      </c>
      <c r="E40" t="s">
        <v>2361</v>
      </c>
      <c r="F40">
        <v>202109</v>
      </c>
      <c r="G40" t="s">
        <v>2170</v>
      </c>
      <c r="H40">
        <v>1064.51</v>
      </c>
      <c r="O40">
        <v>7883</v>
      </c>
      <c r="P40" t="s">
        <v>2360</v>
      </c>
      <c r="Q40">
        <v>5697</v>
      </c>
      <c r="R40" t="s">
        <v>2201</v>
      </c>
      <c r="S40" t="s">
        <v>2361</v>
      </c>
      <c r="T40">
        <v>202202</v>
      </c>
      <c r="U40" t="s">
        <v>180</v>
      </c>
      <c r="V40">
        <v>1002.24</v>
      </c>
    </row>
    <row r="41" spans="1:22">
      <c r="A41">
        <v>7883</v>
      </c>
      <c r="B41" t="s">
        <v>2360</v>
      </c>
      <c r="C41">
        <v>5697</v>
      </c>
      <c r="D41" t="s">
        <v>2201</v>
      </c>
      <c r="E41" t="s">
        <v>2361</v>
      </c>
      <c r="F41">
        <v>202109</v>
      </c>
      <c r="G41" t="s">
        <v>186</v>
      </c>
      <c r="H41">
        <v>14802</v>
      </c>
      <c r="O41">
        <v>7883</v>
      </c>
      <c r="P41" t="s">
        <v>2360</v>
      </c>
      <c r="Q41">
        <v>5697</v>
      </c>
      <c r="R41" t="s">
        <v>2201</v>
      </c>
      <c r="S41" t="s">
        <v>2361</v>
      </c>
      <c r="T41">
        <v>202202</v>
      </c>
      <c r="U41" t="s">
        <v>182</v>
      </c>
      <c r="V41">
        <v>268670</v>
      </c>
    </row>
    <row r="42" spans="1:22">
      <c r="A42">
        <v>7883</v>
      </c>
      <c r="B42" t="s">
        <v>2360</v>
      </c>
      <c r="C42">
        <v>5697</v>
      </c>
      <c r="D42" t="s">
        <v>2201</v>
      </c>
      <c r="E42" t="s">
        <v>2361</v>
      </c>
      <c r="F42">
        <v>202109</v>
      </c>
      <c r="G42" t="s">
        <v>2169</v>
      </c>
      <c r="H42">
        <v>203.32</v>
      </c>
      <c r="O42">
        <v>7883</v>
      </c>
      <c r="P42" t="s">
        <v>2360</v>
      </c>
      <c r="Q42">
        <v>5697</v>
      </c>
      <c r="R42" t="s">
        <v>2201</v>
      </c>
      <c r="S42" t="s">
        <v>2361</v>
      </c>
      <c r="T42">
        <v>202202</v>
      </c>
      <c r="U42" t="s">
        <v>184</v>
      </c>
      <c r="V42">
        <v>18201</v>
      </c>
    </row>
    <row r="43" spans="1:22">
      <c r="A43">
        <v>7883</v>
      </c>
      <c r="B43" t="s">
        <v>2360</v>
      </c>
      <c r="C43">
        <v>5697</v>
      </c>
      <c r="D43" t="s">
        <v>2201</v>
      </c>
      <c r="E43" t="s">
        <v>2361</v>
      </c>
      <c r="F43">
        <v>202109</v>
      </c>
      <c r="G43" t="s">
        <v>2166</v>
      </c>
      <c r="H43">
        <v>12.33</v>
      </c>
      <c r="O43">
        <v>7883</v>
      </c>
      <c r="P43" t="s">
        <v>2360</v>
      </c>
      <c r="Q43">
        <v>5697</v>
      </c>
      <c r="R43" t="s">
        <v>2201</v>
      </c>
      <c r="S43" t="s">
        <v>2361</v>
      </c>
      <c r="T43">
        <v>202202</v>
      </c>
      <c r="U43" t="s">
        <v>186</v>
      </c>
      <c r="V43">
        <v>13335</v>
      </c>
    </row>
    <row r="44" spans="1:22">
      <c r="A44">
        <v>7883</v>
      </c>
      <c r="B44" t="s">
        <v>2360</v>
      </c>
      <c r="C44">
        <v>5697</v>
      </c>
      <c r="D44" t="s">
        <v>2201</v>
      </c>
      <c r="E44" t="s">
        <v>2361</v>
      </c>
      <c r="F44">
        <v>202109</v>
      </c>
      <c r="G44" t="s">
        <v>2167</v>
      </c>
      <c r="H44">
        <v>23.94</v>
      </c>
      <c r="O44">
        <v>7883</v>
      </c>
      <c r="P44" t="s">
        <v>2360</v>
      </c>
      <c r="Q44">
        <v>5697</v>
      </c>
      <c r="R44" t="s">
        <v>2201</v>
      </c>
      <c r="S44" t="s">
        <v>2361</v>
      </c>
      <c r="T44">
        <v>202203</v>
      </c>
      <c r="U44" t="s">
        <v>190</v>
      </c>
      <c r="V44">
        <v>8950</v>
      </c>
    </row>
    <row r="45" spans="1:22">
      <c r="A45">
        <v>7883</v>
      </c>
      <c r="B45" t="s">
        <v>2360</v>
      </c>
      <c r="C45">
        <v>5697</v>
      </c>
      <c r="D45" t="s">
        <v>2201</v>
      </c>
      <c r="E45" t="s">
        <v>2361</v>
      </c>
      <c r="F45">
        <v>202109</v>
      </c>
      <c r="G45" t="s">
        <v>2168</v>
      </c>
      <c r="H45">
        <v>10.17</v>
      </c>
      <c r="O45">
        <v>7883</v>
      </c>
      <c r="P45" t="s">
        <v>2360</v>
      </c>
      <c r="Q45">
        <v>5697</v>
      </c>
      <c r="R45" t="s">
        <v>2201</v>
      </c>
      <c r="S45" t="s">
        <v>2361</v>
      </c>
      <c r="T45">
        <v>202203</v>
      </c>
      <c r="U45" t="s">
        <v>191</v>
      </c>
      <c r="V45">
        <v>0</v>
      </c>
    </row>
    <row r="46" spans="1:22">
      <c r="A46">
        <v>7883</v>
      </c>
      <c r="B46" t="s">
        <v>2360</v>
      </c>
      <c r="C46">
        <v>5697</v>
      </c>
      <c r="D46" t="s">
        <v>2201</v>
      </c>
      <c r="E46" t="s">
        <v>2361</v>
      </c>
      <c r="F46">
        <v>202109</v>
      </c>
      <c r="G46" t="s">
        <v>2171</v>
      </c>
      <c r="H46">
        <v>266127.33</v>
      </c>
      <c r="O46">
        <v>7883</v>
      </c>
      <c r="P46" t="s">
        <v>2360</v>
      </c>
      <c r="Q46">
        <v>5697</v>
      </c>
      <c r="R46" t="s">
        <v>2201</v>
      </c>
      <c r="S46" t="s">
        <v>2361</v>
      </c>
      <c r="T46">
        <v>202203</v>
      </c>
      <c r="U46" t="s">
        <v>178</v>
      </c>
      <c r="V46">
        <v>2663.42</v>
      </c>
    </row>
    <row r="47" spans="1:22">
      <c r="A47">
        <v>7883</v>
      </c>
      <c r="B47" t="s">
        <v>2360</v>
      </c>
      <c r="C47">
        <v>5697</v>
      </c>
      <c r="D47" t="s">
        <v>2201</v>
      </c>
      <c r="E47" t="s">
        <v>2361</v>
      </c>
      <c r="F47">
        <v>202110</v>
      </c>
      <c r="G47" t="s">
        <v>190</v>
      </c>
      <c r="H47">
        <v>794108.93</v>
      </c>
      <c r="O47">
        <v>7883</v>
      </c>
      <c r="P47" t="s">
        <v>2360</v>
      </c>
      <c r="Q47">
        <v>5697</v>
      </c>
      <c r="R47" t="s">
        <v>2201</v>
      </c>
      <c r="S47" t="s">
        <v>2361</v>
      </c>
      <c r="T47">
        <v>202203</v>
      </c>
      <c r="U47" t="s">
        <v>180</v>
      </c>
      <c r="V47">
        <v>1269.5</v>
      </c>
    </row>
    <row r="48" spans="1:22">
      <c r="A48">
        <v>7883</v>
      </c>
      <c r="B48" t="s">
        <v>2360</v>
      </c>
      <c r="C48">
        <v>5697</v>
      </c>
      <c r="D48" t="s">
        <v>2201</v>
      </c>
      <c r="E48" t="s">
        <v>2361</v>
      </c>
      <c r="F48">
        <v>202110</v>
      </c>
      <c r="G48" t="s">
        <v>191</v>
      </c>
      <c r="H48">
        <v>72543.11</v>
      </c>
      <c r="O48">
        <v>7883</v>
      </c>
      <c r="P48" t="s">
        <v>2360</v>
      </c>
      <c r="Q48">
        <v>5697</v>
      </c>
      <c r="R48" t="s">
        <v>2201</v>
      </c>
      <c r="S48" t="s">
        <v>2361</v>
      </c>
      <c r="T48">
        <v>202203</v>
      </c>
      <c r="U48" t="s">
        <v>182</v>
      </c>
      <c r="V48">
        <v>452347</v>
      </c>
    </row>
    <row r="49" spans="1:22">
      <c r="A49">
        <v>7883</v>
      </c>
      <c r="B49" t="s">
        <v>2360</v>
      </c>
      <c r="C49">
        <v>5697</v>
      </c>
      <c r="D49" t="s">
        <v>2201</v>
      </c>
      <c r="E49" t="s">
        <v>2361</v>
      </c>
      <c r="F49">
        <v>202110</v>
      </c>
      <c r="G49" t="s">
        <v>176</v>
      </c>
      <c r="H49">
        <v>0</v>
      </c>
      <c r="O49">
        <v>7883</v>
      </c>
      <c r="P49" t="s">
        <v>2360</v>
      </c>
      <c r="Q49">
        <v>5697</v>
      </c>
      <c r="R49" t="s">
        <v>2201</v>
      </c>
      <c r="S49" t="s">
        <v>2361</v>
      </c>
      <c r="T49">
        <v>202203</v>
      </c>
      <c r="U49" t="s">
        <v>184</v>
      </c>
      <c r="V49">
        <v>37054</v>
      </c>
    </row>
    <row r="50" spans="1:22">
      <c r="A50">
        <v>7883</v>
      </c>
      <c r="B50" t="s">
        <v>2360</v>
      </c>
      <c r="C50">
        <v>5697</v>
      </c>
      <c r="D50" t="s">
        <v>2201</v>
      </c>
      <c r="E50" t="s">
        <v>2361</v>
      </c>
      <c r="F50">
        <v>202110</v>
      </c>
      <c r="G50" t="s">
        <v>178</v>
      </c>
      <c r="H50">
        <v>2458.36</v>
      </c>
      <c r="O50">
        <v>7883</v>
      </c>
      <c r="P50" t="s">
        <v>2360</v>
      </c>
      <c r="Q50">
        <v>5697</v>
      </c>
      <c r="R50" t="s">
        <v>2201</v>
      </c>
      <c r="S50" t="s">
        <v>2361</v>
      </c>
      <c r="T50">
        <v>202203</v>
      </c>
      <c r="U50" t="s">
        <v>186</v>
      </c>
      <c r="V50">
        <v>11942</v>
      </c>
    </row>
    <row r="51" spans="1:22">
      <c r="A51">
        <v>7883</v>
      </c>
      <c r="B51" t="s">
        <v>2360</v>
      </c>
      <c r="C51">
        <v>5697</v>
      </c>
      <c r="D51" t="s">
        <v>2201</v>
      </c>
      <c r="E51" t="s">
        <v>2361</v>
      </c>
      <c r="F51">
        <v>202110</v>
      </c>
      <c r="G51" t="s">
        <v>180</v>
      </c>
      <c r="H51">
        <v>1232.6400000000001</v>
      </c>
      <c r="O51">
        <v>7883</v>
      </c>
      <c r="P51" t="s">
        <v>2360</v>
      </c>
      <c r="Q51">
        <v>5697</v>
      </c>
      <c r="R51" t="s">
        <v>2201</v>
      </c>
      <c r="S51" t="s">
        <v>2361</v>
      </c>
      <c r="T51">
        <v>202204</v>
      </c>
      <c r="U51" t="s">
        <v>190</v>
      </c>
      <c r="V51">
        <v>0</v>
      </c>
    </row>
    <row r="52" spans="1:22">
      <c r="A52">
        <v>7883</v>
      </c>
      <c r="B52" t="s">
        <v>2360</v>
      </c>
      <c r="C52">
        <v>5697</v>
      </c>
      <c r="D52" t="s">
        <v>2201</v>
      </c>
      <c r="E52" t="s">
        <v>2361</v>
      </c>
      <c r="F52">
        <v>202110</v>
      </c>
      <c r="G52" t="s">
        <v>182</v>
      </c>
      <c r="H52">
        <v>409977</v>
      </c>
      <c r="O52">
        <v>7883</v>
      </c>
      <c r="P52" t="s">
        <v>2360</v>
      </c>
      <c r="Q52">
        <v>5697</v>
      </c>
      <c r="R52" t="s">
        <v>2201</v>
      </c>
      <c r="S52" t="s">
        <v>2361</v>
      </c>
      <c r="T52">
        <v>202204</v>
      </c>
      <c r="U52" t="s">
        <v>191</v>
      </c>
      <c r="V52">
        <v>8950</v>
      </c>
    </row>
    <row r="53" spans="1:22">
      <c r="A53">
        <v>7883</v>
      </c>
      <c r="B53" t="s">
        <v>2360</v>
      </c>
      <c r="C53">
        <v>5697</v>
      </c>
      <c r="D53" t="s">
        <v>2201</v>
      </c>
      <c r="E53" t="s">
        <v>2361</v>
      </c>
      <c r="F53">
        <v>202110</v>
      </c>
      <c r="G53" t="s">
        <v>184</v>
      </c>
      <c r="H53">
        <v>34108</v>
      </c>
      <c r="O53">
        <v>7883</v>
      </c>
      <c r="P53" t="s">
        <v>2360</v>
      </c>
      <c r="Q53">
        <v>5697</v>
      </c>
      <c r="R53" t="s">
        <v>2201</v>
      </c>
      <c r="S53" t="s">
        <v>2361</v>
      </c>
      <c r="T53">
        <v>202204</v>
      </c>
      <c r="U53" t="s">
        <v>178</v>
      </c>
      <c r="V53">
        <v>2476.8000000000002</v>
      </c>
    </row>
    <row r="54" spans="1:22">
      <c r="A54">
        <v>7883</v>
      </c>
      <c r="B54" t="s">
        <v>2360</v>
      </c>
      <c r="C54">
        <v>5697</v>
      </c>
      <c r="D54" t="s">
        <v>2201</v>
      </c>
      <c r="E54" t="s">
        <v>2361</v>
      </c>
      <c r="F54">
        <v>202110</v>
      </c>
      <c r="G54" t="s">
        <v>192</v>
      </c>
      <c r="H54">
        <v>0</v>
      </c>
      <c r="O54">
        <v>7883</v>
      </c>
      <c r="P54" t="s">
        <v>2360</v>
      </c>
      <c r="Q54">
        <v>5697</v>
      </c>
      <c r="R54" t="s">
        <v>2201</v>
      </c>
      <c r="S54" t="s">
        <v>2361</v>
      </c>
      <c r="T54">
        <v>202204</v>
      </c>
      <c r="U54" t="s">
        <v>180</v>
      </c>
      <c r="V54">
        <v>1230.33</v>
      </c>
    </row>
    <row r="55" spans="1:22">
      <c r="A55">
        <v>7883</v>
      </c>
      <c r="B55" t="s">
        <v>2360</v>
      </c>
      <c r="C55">
        <v>5697</v>
      </c>
      <c r="D55" t="s">
        <v>2201</v>
      </c>
      <c r="E55" t="s">
        <v>2361</v>
      </c>
      <c r="F55">
        <v>202110</v>
      </c>
      <c r="G55" t="s">
        <v>2170</v>
      </c>
      <c r="H55">
        <v>6554.88</v>
      </c>
      <c r="O55">
        <v>7883</v>
      </c>
      <c r="P55" t="s">
        <v>2360</v>
      </c>
      <c r="Q55">
        <v>5697</v>
      </c>
      <c r="R55" t="s">
        <v>2201</v>
      </c>
      <c r="S55" t="s">
        <v>2361</v>
      </c>
      <c r="T55">
        <v>202204</v>
      </c>
      <c r="U55" t="s">
        <v>182</v>
      </c>
      <c r="V55">
        <v>119241</v>
      </c>
    </row>
    <row r="56" spans="1:22">
      <c r="A56">
        <v>7883</v>
      </c>
      <c r="B56" t="s">
        <v>2360</v>
      </c>
      <c r="C56">
        <v>5697</v>
      </c>
      <c r="D56" t="s">
        <v>2201</v>
      </c>
      <c r="E56" t="s">
        <v>2361</v>
      </c>
      <c r="F56">
        <v>202110</v>
      </c>
      <c r="G56" t="s">
        <v>186</v>
      </c>
      <c r="H56">
        <v>14798</v>
      </c>
      <c r="O56">
        <v>7883</v>
      </c>
      <c r="P56" t="s">
        <v>2360</v>
      </c>
      <c r="Q56">
        <v>5697</v>
      </c>
      <c r="R56" t="s">
        <v>2201</v>
      </c>
      <c r="S56" t="s">
        <v>2361</v>
      </c>
      <c r="T56">
        <v>202204</v>
      </c>
      <c r="U56" t="s">
        <v>184</v>
      </c>
      <c r="V56">
        <v>3742</v>
      </c>
    </row>
    <row r="57" spans="1:22">
      <c r="A57">
        <v>7883</v>
      </c>
      <c r="B57" t="s">
        <v>2360</v>
      </c>
      <c r="C57">
        <v>5697</v>
      </c>
      <c r="D57" t="s">
        <v>2201</v>
      </c>
      <c r="E57" t="s">
        <v>2361</v>
      </c>
      <c r="F57">
        <v>202110</v>
      </c>
      <c r="G57" t="s">
        <v>2169</v>
      </c>
      <c r="H57">
        <v>206.99</v>
      </c>
      <c r="O57">
        <v>7883</v>
      </c>
      <c r="P57" t="s">
        <v>2360</v>
      </c>
      <c r="Q57">
        <v>5697</v>
      </c>
      <c r="R57" t="s">
        <v>2201</v>
      </c>
      <c r="S57" t="s">
        <v>2361</v>
      </c>
      <c r="T57">
        <v>202204</v>
      </c>
      <c r="U57" t="s">
        <v>186</v>
      </c>
      <c r="V57">
        <v>12907</v>
      </c>
    </row>
    <row r="58" spans="1:22">
      <c r="A58">
        <v>7883</v>
      </c>
      <c r="B58" t="s">
        <v>2360</v>
      </c>
      <c r="C58">
        <v>5697</v>
      </c>
      <c r="D58" t="s">
        <v>2201</v>
      </c>
      <c r="E58" t="s">
        <v>2361</v>
      </c>
      <c r="F58">
        <v>202110</v>
      </c>
      <c r="G58" t="s">
        <v>2166</v>
      </c>
      <c r="H58">
        <v>12.31</v>
      </c>
      <c r="O58">
        <v>7883</v>
      </c>
      <c r="P58" t="s">
        <v>2360</v>
      </c>
      <c r="Q58">
        <v>5697</v>
      </c>
      <c r="R58" t="s">
        <v>2201</v>
      </c>
      <c r="S58" t="s">
        <v>2361</v>
      </c>
      <c r="T58">
        <v>202205</v>
      </c>
      <c r="U58" t="s">
        <v>190</v>
      </c>
      <c r="V58">
        <v>8950</v>
      </c>
    </row>
    <row r="59" spans="1:22">
      <c r="A59">
        <v>7883</v>
      </c>
      <c r="B59" t="s">
        <v>2360</v>
      </c>
      <c r="C59">
        <v>5697</v>
      </c>
      <c r="D59" t="s">
        <v>2201</v>
      </c>
      <c r="E59" t="s">
        <v>2361</v>
      </c>
      <c r="F59">
        <v>202110</v>
      </c>
      <c r="G59" t="s">
        <v>2167</v>
      </c>
      <c r="H59">
        <v>23.85</v>
      </c>
      <c r="O59">
        <v>7883</v>
      </c>
      <c r="P59" t="s">
        <v>2360</v>
      </c>
      <c r="Q59">
        <v>5697</v>
      </c>
      <c r="R59" t="s">
        <v>2201</v>
      </c>
      <c r="S59" t="s">
        <v>2361</v>
      </c>
      <c r="T59">
        <v>202205</v>
      </c>
      <c r="U59" t="s">
        <v>191</v>
      </c>
      <c r="V59">
        <v>0</v>
      </c>
    </row>
    <row r="60" spans="1:22">
      <c r="A60">
        <v>7883</v>
      </c>
      <c r="B60" t="s">
        <v>2360</v>
      </c>
      <c r="C60">
        <v>5697</v>
      </c>
      <c r="D60" t="s">
        <v>2201</v>
      </c>
      <c r="E60" t="s">
        <v>2361</v>
      </c>
      <c r="F60">
        <v>202110</v>
      </c>
      <c r="G60" t="s">
        <v>2168</v>
      </c>
      <c r="H60">
        <v>10.32</v>
      </c>
      <c r="O60">
        <v>7883</v>
      </c>
      <c r="P60" t="s">
        <v>2360</v>
      </c>
      <c r="Q60">
        <v>5697</v>
      </c>
      <c r="R60" t="s">
        <v>2201</v>
      </c>
      <c r="S60" t="s">
        <v>2361</v>
      </c>
      <c r="T60">
        <v>202205</v>
      </c>
      <c r="U60" t="s">
        <v>178</v>
      </c>
      <c r="V60">
        <v>2269.44</v>
      </c>
    </row>
    <row r="61" spans="1:22">
      <c r="A61">
        <v>7883</v>
      </c>
      <c r="B61" t="s">
        <v>2360</v>
      </c>
      <c r="C61">
        <v>5697</v>
      </c>
      <c r="D61" t="s">
        <v>2201</v>
      </c>
      <c r="E61" t="s">
        <v>2361</v>
      </c>
      <c r="F61">
        <v>202110</v>
      </c>
      <c r="G61" t="s">
        <v>2171</v>
      </c>
      <c r="H61">
        <v>250186.23999999999</v>
      </c>
      <c r="O61">
        <v>7883</v>
      </c>
      <c r="P61" t="s">
        <v>2360</v>
      </c>
      <c r="Q61">
        <v>5697</v>
      </c>
      <c r="R61" t="s">
        <v>2201</v>
      </c>
      <c r="S61" t="s">
        <v>2361</v>
      </c>
      <c r="T61">
        <v>202205</v>
      </c>
      <c r="U61" t="s">
        <v>180</v>
      </c>
      <c r="V61">
        <v>186.62</v>
      </c>
    </row>
    <row r="62" spans="1:22">
      <c r="A62">
        <v>7883</v>
      </c>
      <c r="B62" t="s">
        <v>2360</v>
      </c>
      <c r="C62">
        <v>5697</v>
      </c>
      <c r="D62" t="s">
        <v>2201</v>
      </c>
      <c r="E62" t="s">
        <v>2361</v>
      </c>
      <c r="F62">
        <v>202111</v>
      </c>
      <c r="G62" t="s">
        <v>190</v>
      </c>
      <c r="H62">
        <v>821759.43</v>
      </c>
      <c r="O62">
        <v>7883</v>
      </c>
      <c r="P62" t="s">
        <v>2360</v>
      </c>
      <c r="Q62">
        <v>5697</v>
      </c>
      <c r="R62" t="s">
        <v>2201</v>
      </c>
      <c r="S62" t="s">
        <v>2361</v>
      </c>
      <c r="T62">
        <v>202205</v>
      </c>
      <c r="U62" t="s">
        <v>182</v>
      </c>
      <c r="V62">
        <v>77246</v>
      </c>
    </row>
    <row r="63" spans="1:22">
      <c r="A63">
        <v>7883</v>
      </c>
      <c r="B63" t="s">
        <v>2360</v>
      </c>
      <c r="C63">
        <v>5697</v>
      </c>
      <c r="D63" t="s">
        <v>2201</v>
      </c>
      <c r="E63" t="s">
        <v>2361</v>
      </c>
      <c r="F63">
        <v>202111</v>
      </c>
      <c r="G63" t="s">
        <v>191</v>
      </c>
      <c r="H63">
        <v>66078.490000000005</v>
      </c>
      <c r="O63">
        <v>7883</v>
      </c>
      <c r="P63" t="s">
        <v>2360</v>
      </c>
      <c r="Q63">
        <v>5697</v>
      </c>
      <c r="R63" t="s">
        <v>2201</v>
      </c>
      <c r="S63" t="s">
        <v>2361</v>
      </c>
      <c r="T63">
        <v>202205</v>
      </c>
      <c r="U63" t="s">
        <v>184</v>
      </c>
      <c r="V63">
        <v>323</v>
      </c>
    </row>
    <row r="64" spans="1:22">
      <c r="A64">
        <v>7883</v>
      </c>
      <c r="B64" t="s">
        <v>2360</v>
      </c>
      <c r="C64">
        <v>5697</v>
      </c>
      <c r="D64" t="s">
        <v>2201</v>
      </c>
      <c r="E64" t="s">
        <v>2361</v>
      </c>
      <c r="F64">
        <v>202111</v>
      </c>
      <c r="G64" t="s">
        <v>176</v>
      </c>
      <c r="H64">
        <v>0</v>
      </c>
      <c r="O64">
        <v>7883</v>
      </c>
      <c r="P64" t="s">
        <v>2360</v>
      </c>
      <c r="Q64">
        <v>5697</v>
      </c>
      <c r="R64" t="s">
        <v>2201</v>
      </c>
      <c r="S64" t="s">
        <v>2361</v>
      </c>
      <c r="T64">
        <v>202205</v>
      </c>
      <c r="U64" t="s">
        <v>186</v>
      </c>
      <c r="V64">
        <v>12419</v>
      </c>
    </row>
    <row r="65" spans="1:22">
      <c r="A65">
        <v>7883</v>
      </c>
      <c r="B65" t="s">
        <v>2360</v>
      </c>
      <c r="C65">
        <v>5697</v>
      </c>
      <c r="D65" t="s">
        <v>2201</v>
      </c>
      <c r="E65" t="s">
        <v>2361</v>
      </c>
      <c r="F65">
        <v>202111</v>
      </c>
      <c r="G65" t="s">
        <v>178</v>
      </c>
      <c r="H65">
        <v>2628.86</v>
      </c>
      <c r="O65">
        <v>7883</v>
      </c>
      <c r="P65" t="s">
        <v>2360</v>
      </c>
      <c r="Q65">
        <v>5697</v>
      </c>
      <c r="R65" t="s">
        <v>2201</v>
      </c>
      <c r="S65" t="s">
        <v>2361</v>
      </c>
      <c r="T65">
        <v>202206</v>
      </c>
      <c r="U65" t="s">
        <v>190</v>
      </c>
      <c r="V65">
        <v>8950</v>
      </c>
    </row>
    <row r="66" spans="1:22">
      <c r="A66">
        <v>7883</v>
      </c>
      <c r="B66" t="s">
        <v>2360</v>
      </c>
      <c r="C66">
        <v>5697</v>
      </c>
      <c r="D66" t="s">
        <v>2201</v>
      </c>
      <c r="E66" t="s">
        <v>2361</v>
      </c>
      <c r="F66">
        <v>202111</v>
      </c>
      <c r="G66" t="s">
        <v>180</v>
      </c>
      <c r="H66">
        <v>1204.99</v>
      </c>
      <c r="O66">
        <v>7883</v>
      </c>
      <c r="P66" t="s">
        <v>2360</v>
      </c>
      <c r="Q66">
        <v>5697</v>
      </c>
      <c r="R66" t="s">
        <v>2201</v>
      </c>
      <c r="S66" t="s">
        <v>2361</v>
      </c>
      <c r="T66">
        <v>202206</v>
      </c>
      <c r="U66" t="s">
        <v>191</v>
      </c>
      <c r="V66">
        <v>0</v>
      </c>
    </row>
    <row r="67" spans="1:22">
      <c r="A67">
        <v>7883</v>
      </c>
      <c r="B67" t="s">
        <v>2360</v>
      </c>
      <c r="C67">
        <v>5697</v>
      </c>
      <c r="D67" t="s">
        <v>2201</v>
      </c>
      <c r="E67" t="s">
        <v>2361</v>
      </c>
      <c r="F67">
        <v>202111</v>
      </c>
      <c r="G67" t="s">
        <v>182</v>
      </c>
      <c r="H67">
        <v>120848.26</v>
      </c>
      <c r="O67">
        <v>7883</v>
      </c>
      <c r="P67" t="s">
        <v>2360</v>
      </c>
      <c r="Q67">
        <v>5697</v>
      </c>
      <c r="R67" t="s">
        <v>2201</v>
      </c>
      <c r="S67" t="s">
        <v>2361</v>
      </c>
      <c r="T67">
        <v>202206</v>
      </c>
      <c r="U67" t="s">
        <v>178</v>
      </c>
      <c r="V67">
        <v>2257.92</v>
      </c>
    </row>
    <row r="68" spans="1:22">
      <c r="A68">
        <v>7883</v>
      </c>
      <c r="B68" t="s">
        <v>2360</v>
      </c>
      <c r="C68">
        <v>5697</v>
      </c>
      <c r="D68" t="s">
        <v>2201</v>
      </c>
      <c r="E68" t="s">
        <v>2361</v>
      </c>
      <c r="F68">
        <v>202111</v>
      </c>
      <c r="G68" t="s">
        <v>184</v>
      </c>
      <c r="H68">
        <v>3662.78</v>
      </c>
      <c r="O68">
        <v>7883</v>
      </c>
      <c r="P68" t="s">
        <v>2360</v>
      </c>
      <c r="Q68">
        <v>5697</v>
      </c>
      <c r="R68" t="s">
        <v>2201</v>
      </c>
      <c r="S68" t="s">
        <v>2361</v>
      </c>
      <c r="T68">
        <v>202206</v>
      </c>
      <c r="U68" t="s">
        <v>180</v>
      </c>
      <c r="V68">
        <v>304.12</v>
      </c>
    </row>
    <row r="69" spans="1:22">
      <c r="A69">
        <v>7883</v>
      </c>
      <c r="B69" t="s">
        <v>2360</v>
      </c>
      <c r="C69">
        <v>5697</v>
      </c>
      <c r="D69" t="s">
        <v>2201</v>
      </c>
      <c r="E69" t="s">
        <v>2361</v>
      </c>
      <c r="F69">
        <v>202111</v>
      </c>
      <c r="G69" t="s">
        <v>192</v>
      </c>
      <c r="H69">
        <v>0</v>
      </c>
      <c r="O69">
        <v>7883</v>
      </c>
      <c r="P69" t="s">
        <v>2360</v>
      </c>
      <c r="Q69">
        <v>5697</v>
      </c>
      <c r="R69" t="s">
        <v>2201</v>
      </c>
      <c r="S69" t="s">
        <v>2361</v>
      </c>
      <c r="T69">
        <v>202206</v>
      </c>
      <c r="U69" t="s">
        <v>182</v>
      </c>
      <c r="V69">
        <v>94698</v>
      </c>
    </row>
    <row r="70" spans="1:22">
      <c r="A70">
        <v>7883</v>
      </c>
      <c r="B70" t="s">
        <v>2360</v>
      </c>
      <c r="C70">
        <v>5697</v>
      </c>
      <c r="D70" t="s">
        <v>2201</v>
      </c>
      <c r="E70" t="s">
        <v>2361</v>
      </c>
      <c r="F70">
        <v>202111</v>
      </c>
      <c r="G70" t="s">
        <v>2170</v>
      </c>
      <c r="H70">
        <v>12389.75</v>
      </c>
      <c r="O70">
        <v>7883</v>
      </c>
      <c r="P70" t="s">
        <v>2360</v>
      </c>
      <c r="Q70">
        <v>5697</v>
      </c>
      <c r="R70" t="s">
        <v>2201</v>
      </c>
      <c r="S70" t="s">
        <v>2361</v>
      </c>
      <c r="T70">
        <v>202206</v>
      </c>
      <c r="U70" t="s">
        <v>184</v>
      </c>
      <c r="V70">
        <v>1855</v>
      </c>
    </row>
    <row r="71" spans="1:22">
      <c r="A71">
        <v>7883</v>
      </c>
      <c r="B71" t="s">
        <v>2360</v>
      </c>
      <c r="C71">
        <v>5697</v>
      </c>
      <c r="D71" t="s">
        <v>2201</v>
      </c>
      <c r="E71" t="s">
        <v>2361</v>
      </c>
      <c r="F71">
        <v>202111</v>
      </c>
      <c r="G71" t="s">
        <v>186</v>
      </c>
      <c r="H71">
        <v>15757</v>
      </c>
      <c r="O71">
        <v>7883</v>
      </c>
      <c r="P71" t="s">
        <v>2360</v>
      </c>
      <c r="Q71">
        <v>5697</v>
      </c>
      <c r="R71" t="s">
        <v>2201</v>
      </c>
      <c r="S71" t="s">
        <v>2361</v>
      </c>
      <c r="T71">
        <v>202206</v>
      </c>
      <c r="U71" t="s">
        <v>186</v>
      </c>
      <c r="V71">
        <v>14088</v>
      </c>
    </row>
    <row r="72" spans="1:22">
      <c r="A72">
        <v>7883</v>
      </c>
      <c r="B72" t="s">
        <v>2360</v>
      </c>
      <c r="C72">
        <v>5697</v>
      </c>
      <c r="D72" t="s">
        <v>2201</v>
      </c>
      <c r="E72" t="s">
        <v>2361</v>
      </c>
      <c r="F72">
        <v>202111</v>
      </c>
      <c r="G72" t="s">
        <v>2169</v>
      </c>
      <c r="H72">
        <v>313.3</v>
      </c>
      <c r="O72">
        <v>7883</v>
      </c>
      <c r="P72" t="s">
        <v>2360</v>
      </c>
      <c r="Q72">
        <v>5697</v>
      </c>
      <c r="R72" t="s">
        <v>2201</v>
      </c>
      <c r="S72" t="s">
        <v>2361</v>
      </c>
      <c r="T72">
        <v>202207</v>
      </c>
      <c r="U72" t="s">
        <v>190</v>
      </c>
      <c r="V72">
        <v>8950</v>
      </c>
    </row>
    <row r="73" spans="1:22">
      <c r="A73">
        <v>7883</v>
      </c>
      <c r="B73" t="s">
        <v>2360</v>
      </c>
      <c r="C73">
        <v>5697</v>
      </c>
      <c r="D73" t="s">
        <v>2201</v>
      </c>
      <c r="E73" t="s">
        <v>2361</v>
      </c>
      <c r="F73">
        <v>202111</v>
      </c>
      <c r="G73" t="s">
        <v>2166</v>
      </c>
      <c r="H73">
        <v>11.83</v>
      </c>
      <c r="O73">
        <v>7883</v>
      </c>
      <c r="P73" t="s">
        <v>2360</v>
      </c>
      <c r="Q73">
        <v>5697</v>
      </c>
      <c r="R73" t="s">
        <v>2201</v>
      </c>
      <c r="S73" t="s">
        <v>2361</v>
      </c>
      <c r="T73">
        <v>202207</v>
      </c>
      <c r="U73" t="s">
        <v>191</v>
      </c>
      <c r="V73">
        <v>0</v>
      </c>
    </row>
    <row r="74" spans="1:22">
      <c r="A74">
        <v>7883</v>
      </c>
      <c r="B74" t="s">
        <v>2360</v>
      </c>
      <c r="C74">
        <v>5697</v>
      </c>
      <c r="D74" t="s">
        <v>2201</v>
      </c>
      <c r="E74" t="s">
        <v>2361</v>
      </c>
      <c r="F74">
        <v>202111</v>
      </c>
      <c r="G74" t="s">
        <v>2167</v>
      </c>
      <c r="H74">
        <v>21.22</v>
      </c>
      <c r="O74">
        <v>7883</v>
      </c>
      <c r="P74" t="s">
        <v>2360</v>
      </c>
      <c r="Q74">
        <v>5697</v>
      </c>
      <c r="R74" t="s">
        <v>2201</v>
      </c>
      <c r="S74" t="s">
        <v>2361</v>
      </c>
      <c r="T74">
        <v>202207</v>
      </c>
      <c r="U74" t="s">
        <v>178</v>
      </c>
      <c r="V74">
        <v>2592</v>
      </c>
    </row>
    <row r="75" spans="1:22">
      <c r="A75">
        <v>7883</v>
      </c>
      <c r="B75" t="s">
        <v>2360</v>
      </c>
      <c r="C75">
        <v>5697</v>
      </c>
      <c r="D75" t="s">
        <v>2201</v>
      </c>
      <c r="E75" t="s">
        <v>2361</v>
      </c>
      <c r="F75">
        <v>202111</v>
      </c>
      <c r="G75" t="s">
        <v>2168</v>
      </c>
      <c r="H75">
        <v>14.37</v>
      </c>
      <c r="O75">
        <v>7883</v>
      </c>
      <c r="P75" t="s">
        <v>2360</v>
      </c>
      <c r="Q75">
        <v>5697</v>
      </c>
      <c r="R75" t="s">
        <v>2201</v>
      </c>
      <c r="S75" t="s">
        <v>2361</v>
      </c>
      <c r="T75">
        <v>202207</v>
      </c>
      <c r="U75" t="s">
        <v>180</v>
      </c>
      <c r="V75">
        <v>1073.6600000000001</v>
      </c>
    </row>
    <row r="76" spans="1:22">
      <c r="A76">
        <v>7883</v>
      </c>
      <c r="B76" t="s">
        <v>2360</v>
      </c>
      <c r="C76">
        <v>5697</v>
      </c>
      <c r="D76" t="s">
        <v>2201</v>
      </c>
      <c r="E76" t="s">
        <v>2361</v>
      </c>
      <c r="F76">
        <v>202111</v>
      </c>
      <c r="G76" t="s">
        <v>2171</v>
      </c>
      <c r="H76">
        <v>349007.56</v>
      </c>
      <c r="O76">
        <v>7883</v>
      </c>
      <c r="P76" t="s">
        <v>2360</v>
      </c>
      <c r="Q76">
        <v>5697</v>
      </c>
      <c r="R76" t="s">
        <v>2201</v>
      </c>
      <c r="S76" t="s">
        <v>2361</v>
      </c>
      <c r="T76">
        <v>202207</v>
      </c>
      <c r="U76" t="s">
        <v>182</v>
      </c>
      <c r="V76">
        <v>48381</v>
      </c>
    </row>
    <row r="77" spans="1:22">
      <c r="A77">
        <v>7883</v>
      </c>
      <c r="B77" t="s">
        <v>2360</v>
      </c>
      <c r="C77">
        <v>5697</v>
      </c>
      <c r="D77" t="s">
        <v>2201</v>
      </c>
      <c r="E77" t="s">
        <v>2361</v>
      </c>
      <c r="F77">
        <v>202112</v>
      </c>
      <c r="G77" t="s">
        <v>190</v>
      </c>
      <c r="H77">
        <v>822364.62</v>
      </c>
      <c r="O77">
        <v>7883</v>
      </c>
      <c r="P77" t="s">
        <v>2360</v>
      </c>
      <c r="Q77">
        <v>5697</v>
      </c>
      <c r="R77" t="s">
        <v>2201</v>
      </c>
      <c r="S77" t="s">
        <v>2361</v>
      </c>
      <c r="T77">
        <v>202207</v>
      </c>
      <c r="U77" t="s">
        <v>184</v>
      </c>
      <c r="V77">
        <v>566</v>
      </c>
    </row>
    <row r="78" spans="1:22">
      <c r="A78">
        <v>7883</v>
      </c>
      <c r="B78" t="s">
        <v>2360</v>
      </c>
      <c r="C78">
        <v>5697</v>
      </c>
      <c r="D78" t="s">
        <v>2201</v>
      </c>
      <c r="E78" t="s">
        <v>2361</v>
      </c>
      <c r="F78">
        <v>202112</v>
      </c>
      <c r="G78" t="s">
        <v>191</v>
      </c>
      <c r="H78">
        <v>69399.8</v>
      </c>
      <c r="O78">
        <v>7883</v>
      </c>
      <c r="P78" t="s">
        <v>2360</v>
      </c>
      <c r="Q78">
        <v>5697</v>
      </c>
      <c r="R78" t="s">
        <v>2201</v>
      </c>
      <c r="S78" t="s">
        <v>2361</v>
      </c>
      <c r="T78">
        <v>202207</v>
      </c>
      <c r="U78" t="s">
        <v>186</v>
      </c>
      <c r="V78">
        <v>14078</v>
      </c>
    </row>
    <row r="79" spans="1:22">
      <c r="A79">
        <v>7883</v>
      </c>
      <c r="B79" t="s">
        <v>2360</v>
      </c>
      <c r="C79">
        <v>5697</v>
      </c>
      <c r="D79" t="s">
        <v>2201</v>
      </c>
      <c r="E79" t="s">
        <v>2361</v>
      </c>
      <c r="F79">
        <v>202112</v>
      </c>
      <c r="G79" t="s">
        <v>176</v>
      </c>
      <c r="H79">
        <v>0</v>
      </c>
      <c r="O79">
        <v>7883</v>
      </c>
      <c r="P79" t="s">
        <v>2360</v>
      </c>
      <c r="Q79">
        <v>5697</v>
      </c>
      <c r="R79" t="s">
        <v>2201</v>
      </c>
      <c r="S79" t="s">
        <v>2361</v>
      </c>
      <c r="T79">
        <v>202208</v>
      </c>
      <c r="U79" t="s">
        <v>190</v>
      </c>
      <c r="V79">
        <v>8950</v>
      </c>
    </row>
    <row r="80" spans="1:22">
      <c r="A80">
        <v>7883</v>
      </c>
      <c r="B80" t="s">
        <v>2360</v>
      </c>
      <c r="C80">
        <v>5697</v>
      </c>
      <c r="D80" t="s">
        <v>2201</v>
      </c>
      <c r="E80" t="s">
        <v>2361</v>
      </c>
      <c r="F80">
        <v>202112</v>
      </c>
      <c r="G80" t="s">
        <v>178</v>
      </c>
      <c r="H80">
        <v>2451.4499999999998</v>
      </c>
      <c r="O80">
        <v>7883</v>
      </c>
      <c r="P80" t="s">
        <v>2360</v>
      </c>
      <c r="Q80">
        <v>5697</v>
      </c>
      <c r="R80" t="s">
        <v>2201</v>
      </c>
      <c r="S80" t="s">
        <v>2361</v>
      </c>
      <c r="T80">
        <v>202208</v>
      </c>
      <c r="U80" t="s">
        <v>191</v>
      </c>
      <c r="V80">
        <v>0</v>
      </c>
    </row>
    <row r="81" spans="1:22">
      <c r="A81">
        <v>7883</v>
      </c>
      <c r="B81" t="s">
        <v>2360</v>
      </c>
      <c r="C81">
        <v>5697</v>
      </c>
      <c r="D81" t="s">
        <v>2201</v>
      </c>
      <c r="E81" t="s">
        <v>2361</v>
      </c>
      <c r="F81">
        <v>202112</v>
      </c>
      <c r="G81" t="s">
        <v>180</v>
      </c>
      <c r="H81">
        <v>822.52</v>
      </c>
      <c r="O81">
        <v>7883</v>
      </c>
      <c r="P81" t="s">
        <v>2360</v>
      </c>
      <c r="Q81">
        <v>5697</v>
      </c>
      <c r="R81" t="s">
        <v>2201</v>
      </c>
      <c r="S81" t="s">
        <v>2361</v>
      </c>
      <c r="T81">
        <v>202208</v>
      </c>
      <c r="U81" t="s">
        <v>178</v>
      </c>
      <c r="V81">
        <v>2502.14</v>
      </c>
    </row>
    <row r="82" spans="1:22">
      <c r="A82">
        <v>7883</v>
      </c>
      <c r="B82" t="s">
        <v>2360</v>
      </c>
      <c r="C82">
        <v>5697</v>
      </c>
      <c r="D82" t="s">
        <v>2201</v>
      </c>
      <c r="E82" t="s">
        <v>2361</v>
      </c>
      <c r="F82">
        <v>202112</v>
      </c>
      <c r="G82" t="s">
        <v>182</v>
      </c>
      <c r="H82">
        <v>166593.60000000001</v>
      </c>
      <c r="O82">
        <v>7883</v>
      </c>
      <c r="P82" t="s">
        <v>2360</v>
      </c>
      <c r="Q82">
        <v>5697</v>
      </c>
      <c r="R82" t="s">
        <v>2201</v>
      </c>
      <c r="S82" t="s">
        <v>2361</v>
      </c>
      <c r="T82">
        <v>202208</v>
      </c>
      <c r="U82" t="s">
        <v>180</v>
      </c>
      <c r="V82">
        <v>974.59</v>
      </c>
    </row>
    <row r="83" spans="1:22">
      <c r="A83">
        <v>7883</v>
      </c>
      <c r="B83" t="s">
        <v>2360</v>
      </c>
      <c r="C83">
        <v>5697</v>
      </c>
      <c r="D83" t="s">
        <v>2201</v>
      </c>
      <c r="E83" t="s">
        <v>2361</v>
      </c>
      <c r="F83">
        <v>202112</v>
      </c>
      <c r="G83" t="s">
        <v>184</v>
      </c>
      <c r="H83">
        <v>6224.83</v>
      </c>
      <c r="O83">
        <v>7883</v>
      </c>
      <c r="P83" t="s">
        <v>2360</v>
      </c>
      <c r="Q83">
        <v>5697</v>
      </c>
      <c r="R83" t="s">
        <v>2201</v>
      </c>
      <c r="S83" t="s">
        <v>2361</v>
      </c>
      <c r="T83">
        <v>202208</v>
      </c>
      <c r="U83" t="s">
        <v>182</v>
      </c>
      <c r="V83">
        <v>330258</v>
      </c>
    </row>
    <row r="84" spans="1:22">
      <c r="A84">
        <v>7883</v>
      </c>
      <c r="B84" t="s">
        <v>2360</v>
      </c>
      <c r="C84">
        <v>5697</v>
      </c>
      <c r="D84" t="s">
        <v>2201</v>
      </c>
      <c r="E84" t="s">
        <v>2361</v>
      </c>
      <c r="F84">
        <v>202112</v>
      </c>
      <c r="G84" t="s">
        <v>192</v>
      </c>
      <c r="H84">
        <v>0</v>
      </c>
      <c r="O84">
        <v>7883</v>
      </c>
      <c r="P84" t="s">
        <v>2360</v>
      </c>
      <c r="Q84">
        <v>5697</v>
      </c>
      <c r="R84" t="s">
        <v>2201</v>
      </c>
      <c r="S84" t="s">
        <v>2361</v>
      </c>
      <c r="T84">
        <v>202208</v>
      </c>
      <c r="U84" t="s">
        <v>184</v>
      </c>
      <c r="V84">
        <v>24340</v>
      </c>
    </row>
    <row r="85" spans="1:22">
      <c r="A85">
        <v>7883</v>
      </c>
      <c r="B85" t="s">
        <v>2360</v>
      </c>
      <c r="C85">
        <v>5697</v>
      </c>
      <c r="D85" t="s">
        <v>2201</v>
      </c>
      <c r="E85" t="s">
        <v>2361</v>
      </c>
      <c r="F85">
        <v>202112</v>
      </c>
      <c r="G85" t="s">
        <v>2170</v>
      </c>
      <c r="H85">
        <v>12756.52</v>
      </c>
      <c r="O85">
        <v>7883</v>
      </c>
      <c r="P85" t="s">
        <v>2360</v>
      </c>
      <c r="Q85">
        <v>5697</v>
      </c>
      <c r="R85" t="s">
        <v>2201</v>
      </c>
      <c r="S85" t="s">
        <v>2361</v>
      </c>
      <c r="T85">
        <v>202208</v>
      </c>
      <c r="U85" t="s">
        <v>186</v>
      </c>
      <c r="V85">
        <v>14586</v>
      </c>
    </row>
    <row r="86" spans="1:22">
      <c r="A86">
        <v>7883</v>
      </c>
      <c r="B86" t="s">
        <v>2360</v>
      </c>
      <c r="C86">
        <v>5697</v>
      </c>
      <c r="D86" t="s">
        <v>2201</v>
      </c>
      <c r="E86" t="s">
        <v>2361</v>
      </c>
      <c r="F86">
        <v>202112</v>
      </c>
      <c r="G86" t="s">
        <v>186</v>
      </c>
      <c r="H86">
        <v>15731</v>
      </c>
    </row>
    <row r="87" spans="1:22">
      <c r="A87">
        <v>7883</v>
      </c>
      <c r="B87" t="s">
        <v>2360</v>
      </c>
      <c r="C87">
        <v>5697</v>
      </c>
      <c r="D87" t="s">
        <v>2201</v>
      </c>
      <c r="E87" t="s">
        <v>2361</v>
      </c>
      <c r="F87">
        <v>202112</v>
      </c>
      <c r="G87" t="s">
        <v>2169</v>
      </c>
      <c r="H87">
        <v>313.3</v>
      </c>
    </row>
    <row r="88" spans="1:22">
      <c r="A88">
        <v>7883</v>
      </c>
      <c r="B88" t="s">
        <v>2360</v>
      </c>
      <c r="C88">
        <v>5697</v>
      </c>
      <c r="D88" t="s">
        <v>2201</v>
      </c>
      <c r="E88" t="s">
        <v>2361</v>
      </c>
      <c r="F88">
        <v>202112</v>
      </c>
      <c r="G88" t="s">
        <v>2166</v>
      </c>
      <c r="H88">
        <v>11.83</v>
      </c>
    </row>
    <row r="89" spans="1:22">
      <c r="A89">
        <v>7883</v>
      </c>
      <c r="B89" t="s">
        <v>2360</v>
      </c>
      <c r="C89">
        <v>5697</v>
      </c>
      <c r="D89" t="s">
        <v>2201</v>
      </c>
      <c r="E89" t="s">
        <v>2361</v>
      </c>
      <c r="F89">
        <v>202112</v>
      </c>
      <c r="G89" t="s">
        <v>2167</v>
      </c>
      <c r="H89">
        <v>21.22</v>
      </c>
    </row>
    <row r="90" spans="1:22">
      <c r="A90">
        <v>7883</v>
      </c>
      <c r="B90" t="s">
        <v>2360</v>
      </c>
      <c r="C90">
        <v>5697</v>
      </c>
      <c r="D90" t="s">
        <v>2201</v>
      </c>
      <c r="E90" t="s">
        <v>2361</v>
      </c>
      <c r="F90">
        <v>202112</v>
      </c>
      <c r="G90" t="s">
        <v>2168</v>
      </c>
      <c r="H90">
        <v>14.37</v>
      </c>
    </row>
    <row r="91" spans="1:22">
      <c r="A91">
        <v>7883</v>
      </c>
      <c r="B91" t="s">
        <v>2360</v>
      </c>
      <c r="C91">
        <v>5697</v>
      </c>
      <c r="D91" t="s">
        <v>2201</v>
      </c>
      <c r="E91" t="s">
        <v>2361</v>
      </c>
      <c r="F91">
        <v>202112</v>
      </c>
      <c r="G91" t="s">
        <v>2171</v>
      </c>
      <c r="H91">
        <v>341083.75</v>
      </c>
    </row>
    <row r="92" spans="1:22">
      <c r="A92">
        <v>7883</v>
      </c>
      <c r="B92" t="s">
        <v>2360</v>
      </c>
      <c r="C92">
        <v>5697</v>
      </c>
      <c r="D92" t="s">
        <v>2201</v>
      </c>
      <c r="E92" t="s">
        <v>2361</v>
      </c>
      <c r="F92">
        <v>202201</v>
      </c>
      <c r="G92" t="s">
        <v>190</v>
      </c>
      <c r="H92">
        <v>723792.29</v>
      </c>
    </row>
    <row r="93" spans="1:22">
      <c r="A93">
        <v>7883</v>
      </c>
      <c r="B93" t="s">
        <v>2360</v>
      </c>
      <c r="C93">
        <v>5697</v>
      </c>
      <c r="D93" t="s">
        <v>2201</v>
      </c>
      <c r="E93" t="s">
        <v>2361</v>
      </c>
      <c r="F93">
        <v>202201</v>
      </c>
      <c r="G93" t="s">
        <v>191</v>
      </c>
      <c r="H93">
        <v>67709.8</v>
      </c>
    </row>
    <row r="94" spans="1:22">
      <c r="A94">
        <v>7883</v>
      </c>
      <c r="B94" t="s">
        <v>2360</v>
      </c>
      <c r="C94">
        <v>5697</v>
      </c>
      <c r="D94" t="s">
        <v>2201</v>
      </c>
      <c r="E94" t="s">
        <v>2361</v>
      </c>
      <c r="F94">
        <v>202201</v>
      </c>
      <c r="G94" t="s">
        <v>176</v>
      </c>
      <c r="H94">
        <v>0</v>
      </c>
    </row>
    <row r="95" spans="1:22">
      <c r="A95">
        <v>7883</v>
      </c>
      <c r="B95" t="s">
        <v>2360</v>
      </c>
      <c r="C95">
        <v>5697</v>
      </c>
      <c r="D95" t="s">
        <v>2201</v>
      </c>
      <c r="E95" t="s">
        <v>2361</v>
      </c>
      <c r="F95">
        <v>202201</v>
      </c>
      <c r="G95" t="s">
        <v>178</v>
      </c>
      <c r="H95">
        <v>2409.98</v>
      </c>
    </row>
    <row r="96" spans="1:22">
      <c r="A96">
        <v>7883</v>
      </c>
      <c r="B96" t="s">
        <v>2360</v>
      </c>
      <c r="C96">
        <v>5697</v>
      </c>
      <c r="D96" t="s">
        <v>2201</v>
      </c>
      <c r="E96" t="s">
        <v>2361</v>
      </c>
      <c r="F96">
        <v>202201</v>
      </c>
      <c r="G96" t="s">
        <v>180</v>
      </c>
      <c r="H96">
        <v>1022.97</v>
      </c>
    </row>
    <row r="97" spans="1:8">
      <c r="A97">
        <v>7883</v>
      </c>
      <c r="B97" t="s">
        <v>2360</v>
      </c>
      <c r="C97">
        <v>5697</v>
      </c>
      <c r="D97" t="s">
        <v>2201</v>
      </c>
      <c r="E97" t="s">
        <v>2361</v>
      </c>
      <c r="F97">
        <v>202201</v>
      </c>
      <c r="G97" t="s">
        <v>182</v>
      </c>
      <c r="H97">
        <v>302467</v>
      </c>
    </row>
    <row r="98" spans="1:8">
      <c r="A98">
        <v>7883</v>
      </c>
      <c r="B98" t="s">
        <v>2360</v>
      </c>
      <c r="C98">
        <v>5697</v>
      </c>
      <c r="D98" t="s">
        <v>2201</v>
      </c>
      <c r="E98" t="s">
        <v>2361</v>
      </c>
      <c r="F98">
        <v>202201</v>
      </c>
      <c r="G98" t="s">
        <v>184</v>
      </c>
      <c r="H98">
        <v>21532</v>
      </c>
    </row>
    <row r="99" spans="1:8">
      <c r="A99">
        <v>7883</v>
      </c>
      <c r="B99" t="s">
        <v>2360</v>
      </c>
      <c r="C99">
        <v>5697</v>
      </c>
      <c r="D99" t="s">
        <v>2201</v>
      </c>
      <c r="E99" t="s">
        <v>2361</v>
      </c>
      <c r="F99">
        <v>202201</v>
      </c>
      <c r="G99" t="s">
        <v>192</v>
      </c>
      <c r="H99">
        <v>0</v>
      </c>
    </row>
    <row r="100" spans="1:8">
      <c r="A100">
        <v>7883</v>
      </c>
      <c r="B100" t="s">
        <v>2360</v>
      </c>
      <c r="C100">
        <v>5697</v>
      </c>
      <c r="D100" t="s">
        <v>2201</v>
      </c>
      <c r="E100" t="s">
        <v>2361</v>
      </c>
      <c r="F100">
        <v>202201</v>
      </c>
      <c r="G100" t="s">
        <v>2170</v>
      </c>
      <c r="H100">
        <v>11766.69</v>
      </c>
    </row>
    <row r="101" spans="1:8">
      <c r="A101">
        <v>7883</v>
      </c>
      <c r="B101" t="s">
        <v>2360</v>
      </c>
      <c r="C101">
        <v>5697</v>
      </c>
      <c r="D101" t="s">
        <v>2201</v>
      </c>
      <c r="E101" t="s">
        <v>2361</v>
      </c>
      <c r="F101">
        <v>202201</v>
      </c>
      <c r="G101" t="s">
        <v>186</v>
      </c>
      <c r="H101">
        <v>14345</v>
      </c>
    </row>
    <row r="102" spans="1:8">
      <c r="A102">
        <v>7883</v>
      </c>
      <c r="B102" t="s">
        <v>2360</v>
      </c>
      <c r="C102">
        <v>5697</v>
      </c>
      <c r="D102" t="s">
        <v>2201</v>
      </c>
      <c r="E102" t="s">
        <v>2361</v>
      </c>
      <c r="F102">
        <v>202201</v>
      </c>
      <c r="G102" t="s">
        <v>2169</v>
      </c>
      <c r="H102">
        <v>313.3</v>
      </c>
    </row>
    <row r="103" spans="1:8">
      <c r="A103">
        <v>7883</v>
      </c>
      <c r="B103" t="s">
        <v>2360</v>
      </c>
      <c r="C103">
        <v>5697</v>
      </c>
      <c r="D103" t="s">
        <v>2201</v>
      </c>
      <c r="E103" t="s">
        <v>2361</v>
      </c>
      <c r="F103">
        <v>202201</v>
      </c>
      <c r="G103" t="s">
        <v>2166</v>
      </c>
      <c r="H103">
        <v>11.83</v>
      </c>
    </row>
    <row r="104" spans="1:8">
      <c r="A104">
        <v>7883</v>
      </c>
      <c r="B104" t="s">
        <v>2360</v>
      </c>
      <c r="C104">
        <v>5697</v>
      </c>
      <c r="D104" t="s">
        <v>2201</v>
      </c>
      <c r="E104" t="s">
        <v>2361</v>
      </c>
      <c r="F104">
        <v>202201</v>
      </c>
      <c r="G104" t="s">
        <v>2167</v>
      </c>
      <c r="H104">
        <v>21.22</v>
      </c>
    </row>
    <row r="105" spans="1:8">
      <c r="A105">
        <v>7883</v>
      </c>
      <c r="B105" t="s">
        <v>2360</v>
      </c>
      <c r="C105">
        <v>5697</v>
      </c>
      <c r="D105" t="s">
        <v>2201</v>
      </c>
      <c r="E105" t="s">
        <v>2361</v>
      </c>
      <c r="F105">
        <v>202201</v>
      </c>
      <c r="G105" t="s">
        <v>2168</v>
      </c>
      <c r="H105">
        <v>14.37</v>
      </c>
    </row>
    <row r="106" spans="1:8">
      <c r="A106">
        <v>7883</v>
      </c>
      <c r="B106" t="s">
        <v>2360</v>
      </c>
      <c r="C106">
        <v>5697</v>
      </c>
      <c r="D106" t="s">
        <v>2201</v>
      </c>
      <c r="E106" t="s">
        <v>2361</v>
      </c>
      <c r="F106">
        <v>202201</v>
      </c>
      <c r="G106" t="s">
        <v>2171</v>
      </c>
      <c r="H106">
        <v>314617.28000000003</v>
      </c>
    </row>
    <row r="107" spans="1:8">
      <c r="A107">
        <v>7883</v>
      </c>
      <c r="B107" t="s">
        <v>2360</v>
      </c>
      <c r="C107">
        <v>5697</v>
      </c>
      <c r="D107" t="s">
        <v>2201</v>
      </c>
      <c r="E107" t="s">
        <v>2361</v>
      </c>
      <c r="F107">
        <v>202202</v>
      </c>
      <c r="G107" t="s">
        <v>190</v>
      </c>
      <c r="H107">
        <v>8950</v>
      </c>
    </row>
    <row r="108" spans="1:8">
      <c r="A108">
        <v>7883</v>
      </c>
      <c r="B108" t="s">
        <v>2360</v>
      </c>
      <c r="C108">
        <v>5697</v>
      </c>
      <c r="D108" t="s">
        <v>2201</v>
      </c>
      <c r="E108" t="s">
        <v>2361</v>
      </c>
      <c r="F108">
        <v>202202</v>
      </c>
      <c r="G108" t="s">
        <v>191</v>
      </c>
      <c r="H108">
        <v>0</v>
      </c>
    </row>
    <row r="109" spans="1:8">
      <c r="A109">
        <v>7883</v>
      </c>
      <c r="B109" t="s">
        <v>2360</v>
      </c>
      <c r="C109">
        <v>5697</v>
      </c>
      <c r="D109" t="s">
        <v>2201</v>
      </c>
      <c r="E109" t="s">
        <v>2361</v>
      </c>
      <c r="F109">
        <v>202202</v>
      </c>
      <c r="G109" t="s">
        <v>176</v>
      </c>
      <c r="H109">
        <v>-15097.09</v>
      </c>
    </row>
    <row r="110" spans="1:8">
      <c r="A110">
        <v>7883</v>
      </c>
      <c r="B110" t="s">
        <v>2360</v>
      </c>
      <c r="C110">
        <v>5697</v>
      </c>
      <c r="D110" t="s">
        <v>2201</v>
      </c>
      <c r="E110" t="s">
        <v>2361</v>
      </c>
      <c r="F110">
        <v>202202</v>
      </c>
      <c r="G110" t="s">
        <v>178</v>
      </c>
      <c r="H110">
        <v>2398.46</v>
      </c>
    </row>
    <row r="111" spans="1:8">
      <c r="A111">
        <v>7883</v>
      </c>
      <c r="B111" t="s">
        <v>2360</v>
      </c>
      <c r="C111">
        <v>5697</v>
      </c>
      <c r="D111" t="s">
        <v>2201</v>
      </c>
      <c r="E111" t="s">
        <v>2361</v>
      </c>
      <c r="F111">
        <v>202202</v>
      </c>
      <c r="G111" t="s">
        <v>180</v>
      </c>
      <c r="H111">
        <v>1002.24</v>
      </c>
    </row>
    <row r="112" spans="1:8">
      <c r="A112">
        <v>7883</v>
      </c>
      <c r="B112" t="s">
        <v>2360</v>
      </c>
      <c r="C112">
        <v>5697</v>
      </c>
      <c r="D112" t="s">
        <v>2201</v>
      </c>
      <c r="E112" t="s">
        <v>2361</v>
      </c>
      <c r="F112">
        <v>202202</v>
      </c>
      <c r="G112" t="s">
        <v>182</v>
      </c>
      <c r="H112">
        <v>268670</v>
      </c>
    </row>
    <row r="113" spans="1:8">
      <c r="A113">
        <v>7883</v>
      </c>
      <c r="B113" t="s">
        <v>2360</v>
      </c>
      <c r="C113">
        <v>5697</v>
      </c>
      <c r="D113" t="s">
        <v>2201</v>
      </c>
      <c r="E113" t="s">
        <v>2361</v>
      </c>
      <c r="F113">
        <v>202202</v>
      </c>
      <c r="G113" t="s">
        <v>184</v>
      </c>
      <c r="H113">
        <v>18201</v>
      </c>
    </row>
    <row r="114" spans="1:8">
      <c r="A114">
        <v>7883</v>
      </c>
      <c r="B114" t="s">
        <v>2360</v>
      </c>
      <c r="C114">
        <v>5697</v>
      </c>
      <c r="D114" t="s">
        <v>2201</v>
      </c>
      <c r="E114" t="s">
        <v>2361</v>
      </c>
      <c r="F114">
        <v>202202</v>
      </c>
      <c r="G114" t="s">
        <v>192</v>
      </c>
      <c r="H114">
        <v>0</v>
      </c>
    </row>
    <row r="115" spans="1:8">
      <c r="A115">
        <v>7883</v>
      </c>
      <c r="B115" t="s">
        <v>2360</v>
      </c>
      <c r="C115">
        <v>5697</v>
      </c>
      <c r="D115" t="s">
        <v>2201</v>
      </c>
      <c r="E115" t="s">
        <v>2361</v>
      </c>
      <c r="F115">
        <v>202202</v>
      </c>
      <c r="G115" t="s">
        <v>2170</v>
      </c>
      <c r="H115">
        <v>2808.49</v>
      </c>
    </row>
    <row r="116" spans="1:8">
      <c r="A116">
        <v>7883</v>
      </c>
      <c r="B116" t="s">
        <v>2360</v>
      </c>
      <c r="C116">
        <v>5697</v>
      </c>
      <c r="D116" t="s">
        <v>2201</v>
      </c>
      <c r="E116" t="s">
        <v>2361</v>
      </c>
      <c r="F116">
        <v>202202</v>
      </c>
      <c r="G116" t="s">
        <v>186</v>
      </c>
      <c r="H116">
        <v>13335</v>
      </c>
    </row>
    <row r="117" spans="1:8">
      <c r="A117">
        <v>7883</v>
      </c>
      <c r="B117" t="s">
        <v>2360</v>
      </c>
      <c r="C117">
        <v>5697</v>
      </c>
      <c r="D117" t="s">
        <v>2201</v>
      </c>
      <c r="E117" t="s">
        <v>2361</v>
      </c>
      <c r="F117">
        <v>202202</v>
      </c>
      <c r="G117" t="s">
        <v>2169</v>
      </c>
      <c r="H117">
        <v>313.3</v>
      </c>
    </row>
    <row r="118" spans="1:8">
      <c r="A118">
        <v>7883</v>
      </c>
      <c r="B118" t="s">
        <v>2360</v>
      </c>
      <c r="C118">
        <v>5697</v>
      </c>
      <c r="D118" t="s">
        <v>2201</v>
      </c>
      <c r="E118" t="s">
        <v>2361</v>
      </c>
      <c r="F118">
        <v>202202</v>
      </c>
      <c r="G118" t="s">
        <v>2166</v>
      </c>
      <c r="H118">
        <v>11.83</v>
      </c>
    </row>
    <row r="119" spans="1:8">
      <c r="A119">
        <v>7883</v>
      </c>
      <c r="B119" t="s">
        <v>2360</v>
      </c>
      <c r="C119">
        <v>5697</v>
      </c>
      <c r="D119" t="s">
        <v>2201</v>
      </c>
      <c r="E119" t="s">
        <v>2361</v>
      </c>
      <c r="F119">
        <v>202202</v>
      </c>
      <c r="G119" t="s">
        <v>2167</v>
      </c>
      <c r="H119">
        <v>21.22</v>
      </c>
    </row>
    <row r="120" spans="1:8">
      <c r="A120">
        <v>7883</v>
      </c>
      <c r="B120" t="s">
        <v>2360</v>
      </c>
      <c r="C120">
        <v>5697</v>
      </c>
      <c r="D120" t="s">
        <v>2201</v>
      </c>
      <c r="E120" t="s">
        <v>2361</v>
      </c>
      <c r="F120">
        <v>202202</v>
      </c>
      <c r="G120" t="s">
        <v>2168</v>
      </c>
      <c r="H120">
        <v>14.37</v>
      </c>
    </row>
    <row r="121" spans="1:8">
      <c r="A121">
        <v>7883</v>
      </c>
      <c r="B121" t="s">
        <v>2360</v>
      </c>
      <c r="C121">
        <v>5697</v>
      </c>
      <c r="D121" t="s">
        <v>2201</v>
      </c>
      <c r="E121" t="s">
        <v>2361</v>
      </c>
      <c r="F121">
        <v>202202</v>
      </c>
      <c r="G121" t="s">
        <v>2171</v>
      </c>
      <c r="H121">
        <v>44279.06</v>
      </c>
    </row>
    <row r="122" spans="1:8">
      <c r="A122">
        <v>7883</v>
      </c>
      <c r="B122" t="s">
        <v>2360</v>
      </c>
      <c r="C122">
        <v>5697</v>
      </c>
      <c r="D122" t="s">
        <v>2201</v>
      </c>
      <c r="E122" t="s">
        <v>2361</v>
      </c>
      <c r="F122">
        <v>202203</v>
      </c>
      <c r="G122" t="s">
        <v>190</v>
      </c>
      <c r="H122">
        <v>8950</v>
      </c>
    </row>
    <row r="123" spans="1:8">
      <c r="A123">
        <v>7883</v>
      </c>
      <c r="B123" t="s">
        <v>2360</v>
      </c>
      <c r="C123">
        <v>5697</v>
      </c>
      <c r="D123" t="s">
        <v>2201</v>
      </c>
      <c r="E123" t="s">
        <v>2361</v>
      </c>
      <c r="F123">
        <v>202203</v>
      </c>
      <c r="G123" t="s">
        <v>191</v>
      </c>
      <c r="H123">
        <v>0</v>
      </c>
    </row>
    <row r="124" spans="1:8">
      <c r="A124">
        <v>7883</v>
      </c>
      <c r="B124" t="s">
        <v>2360</v>
      </c>
      <c r="C124">
        <v>5697</v>
      </c>
      <c r="D124" t="s">
        <v>2201</v>
      </c>
      <c r="E124" t="s">
        <v>2361</v>
      </c>
      <c r="F124">
        <v>202203</v>
      </c>
      <c r="G124" t="s">
        <v>176</v>
      </c>
      <c r="H124">
        <v>0</v>
      </c>
    </row>
    <row r="125" spans="1:8">
      <c r="A125">
        <v>7883</v>
      </c>
      <c r="B125" t="s">
        <v>2360</v>
      </c>
      <c r="C125">
        <v>5697</v>
      </c>
      <c r="D125" t="s">
        <v>2201</v>
      </c>
      <c r="E125" t="s">
        <v>2361</v>
      </c>
      <c r="F125">
        <v>202203</v>
      </c>
      <c r="G125" t="s">
        <v>178</v>
      </c>
      <c r="H125">
        <v>2663.42</v>
      </c>
    </row>
    <row r="126" spans="1:8">
      <c r="A126">
        <v>7883</v>
      </c>
      <c r="B126" t="s">
        <v>2360</v>
      </c>
      <c r="C126">
        <v>5697</v>
      </c>
      <c r="D126" t="s">
        <v>2201</v>
      </c>
      <c r="E126" t="s">
        <v>2361</v>
      </c>
      <c r="F126">
        <v>202203</v>
      </c>
      <c r="G126" t="s">
        <v>180</v>
      </c>
      <c r="H126">
        <v>1269.5</v>
      </c>
    </row>
    <row r="127" spans="1:8">
      <c r="A127">
        <v>7883</v>
      </c>
      <c r="B127" t="s">
        <v>2360</v>
      </c>
      <c r="C127">
        <v>5697</v>
      </c>
      <c r="D127" t="s">
        <v>2201</v>
      </c>
      <c r="E127" t="s">
        <v>2361</v>
      </c>
      <c r="F127">
        <v>202203</v>
      </c>
      <c r="G127" t="s">
        <v>182</v>
      </c>
      <c r="H127">
        <v>452347</v>
      </c>
    </row>
    <row r="128" spans="1:8">
      <c r="A128">
        <v>7883</v>
      </c>
      <c r="B128" t="s">
        <v>2360</v>
      </c>
      <c r="C128">
        <v>5697</v>
      </c>
      <c r="D128" t="s">
        <v>2201</v>
      </c>
      <c r="E128" t="s">
        <v>2361</v>
      </c>
      <c r="F128">
        <v>202203</v>
      </c>
      <c r="G128" t="s">
        <v>184</v>
      </c>
      <c r="H128">
        <v>37054</v>
      </c>
    </row>
    <row r="129" spans="1:8">
      <c r="A129">
        <v>7883</v>
      </c>
      <c r="B129" t="s">
        <v>2360</v>
      </c>
      <c r="C129">
        <v>5697</v>
      </c>
      <c r="D129" t="s">
        <v>2201</v>
      </c>
      <c r="E129" t="s">
        <v>2361</v>
      </c>
      <c r="F129">
        <v>202203</v>
      </c>
      <c r="G129" t="s">
        <v>192</v>
      </c>
      <c r="H129">
        <v>0</v>
      </c>
    </row>
    <row r="130" spans="1:8">
      <c r="A130">
        <v>7883</v>
      </c>
      <c r="B130" t="s">
        <v>2360</v>
      </c>
      <c r="C130">
        <v>5697</v>
      </c>
      <c r="D130" t="s">
        <v>2201</v>
      </c>
      <c r="E130" t="s">
        <v>2361</v>
      </c>
      <c r="F130">
        <v>202203</v>
      </c>
      <c r="G130" t="s">
        <v>2170</v>
      </c>
      <c r="H130">
        <v>2010.4</v>
      </c>
    </row>
    <row r="131" spans="1:8">
      <c r="A131">
        <v>7883</v>
      </c>
      <c r="B131" t="s">
        <v>2360</v>
      </c>
      <c r="C131">
        <v>5697</v>
      </c>
      <c r="D131" t="s">
        <v>2201</v>
      </c>
      <c r="E131" t="s">
        <v>2361</v>
      </c>
      <c r="F131">
        <v>202203</v>
      </c>
      <c r="G131" t="s">
        <v>186</v>
      </c>
      <c r="H131">
        <v>11942</v>
      </c>
    </row>
    <row r="132" spans="1:8">
      <c r="A132">
        <v>7883</v>
      </c>
      <c r="B132" t="s">
        <v>2360</v>
      </c>
      <c r="C132">
        <v>5697</v>
      </c>
      <c r="D132" t="s">
        <v>2201</v>
      </c>
      <c r="E132" t="s">
        <v>2361</v>
      </c>
      <c r="F132">
        <v>202203</v>
      </c>
      <c r="G132" t="s">
        <v>2169</v>
      </c>
      <c r="H132">
        <v>313.3</v>
      </c>
    </row>
    <row r="133" spans="1:8">
      <c r="A133">
        <v>7883</v>
      </c>
      <c r="B133" t="s">
        <v>2360</v>
      </c>
      <c r="C133">
        <v>5697</v>
      </c>
      <c r="D133" t="s">
        <v>2201</v>
      </c>
      <c r="E133" t="s">
        <v>2361</v>
      </c>
      <c r="F133">
        <v>202203</v>
      </c>
      <c r="G133" t="s">
        <v>2166</v>
      </c>
      <c r="H133">
        <v>11.83</v>
      </c>
    </row>
    <row r="134" spans="1:8">
      <c r="A134">
        <v>7883</v>
      </c>
      <c r="B134" t="s">
        <v>2360</v>
      </c>
      <c r="C134">
        <v>5697</v>
      </c>
      <c r="D134" t="s">
        <v>2201</v>
      </c>
      <c r="E134" t="s">
        <v>2361</v>
      </c>
      <c r="F134">
        <v>202203</v>
      </c>
      <c r="G134" t="s">
        <v>2167</v>
      </c>
      <c r="H134">
        <v>21.22</v>
      </c>
    </row>
    <row r="135" spans="1:8">
      <c r="A135">
        <v>7883</v>
      </c>
      <c r="B135" t="s">
        <v>2360</v>
      </c>
      <c r="C135">
        <v>5697</v>
      </c>
      <c r="D135" t="s">
        <v>2201</v>
      </c>
      <c r="E135" t="s">
        <v>2361</v>
      </c>
      <c r="F135">
        <v>202203</v>
      </c>
      <c r="G135" t="s">
        <v>2168</v>
      </c>
      <c r="H135">
        <v>14.37</v>
      </c>
    </row>
    <row r="136" spans="1:8">
      <c r="A136">
        <v>7883</v>
      </c>
      <c r="B136" t="s">
        <v>2360</v>
      </c>
      <c r="C136">
        <v>5697</v>
      </c>
      <c r="D136" t="s">
        <v>2201</v>
      </c>
      <c r="E136" t="s">
        <v>2361</v>
      </c>
      <c r="F136">
        <v>202203</v>
      </c>
      <c r="G136" t="s">
        <v>2171</v>
      </c>
      <c r="H136">
        <v>70294.149999999994</v>
      </c>
    </row>
    <row r="137" spans="1:8">
      <c r="A137">
        <v>7883</v>
      </c>
      <c r="B137" t="s">
        <v>2360</v>
      </c>
      <c r="C137">
        <v>5697</v>
      </c>
      <c r="D137" t="s">
        <v>2201</v>
      </c>
      <c r="E137" t="s">
        <v>2361</v>
      </c>
      <c r="F137">
        <v>202204</v>
      </c>
      <c r="G137" t="s">
        <v>190</v>
      </c>
      <c r="H137">
        <v>0</v>
      </c>
    </row>
    <row r="138" spans="1:8">
      <c r="A138">
        <v>7883</v>
      </c>
      <c r="B138" t="s">
        <v>2360</v>
      </c>
      <c r="C138">
        <v>5697</v>
      </c>
      <c r="D138" t="s">
        <v>2201</v>
      </c>
      <c r="E138" t="s">
        <v>2361</v>
      </c>
      <c r="F138">
        <v>202204</v>
      </c>
      <c r="G138" t="s">
        <v>191</v>
      </c>
      <c r="H138">
        <v>8950</v>
      </c>
    </row>
    <row r="139" spans="1:8">
      <c r="A139">
        <v>7883</v>
      </c>
      <c r="B139" t="s">
        <v>2360</v>
      </c>
      <c r="C139">
        <v>5697</v>
      </c>
      <c r="D139" t="s">
        <v>2201</v>
      </c>
      <c r="E139" t="s">
        <v>2361</v>
      </c>
      <c r="F139">
        <v>202204</v>
      </c>
      <c r="G139" t="s">
        <v>176</v>
      </c>
      <c r="H139">
        <v>0</v>
      </c>
    </row>
    <row r="140" spans="1:8">
      <c r="A140">
        <v>7883</v>
      </c>
      <c r="B140" t="s">
        <v>2360</v>
      </c>
      <c r="C140">
        <v>5697</v>
      </c>
      <c r="D140" t="s">
        <v>2201</v>
      </c>
      <c r="E140" t="s">
        <v>2361</v>
      </c>
      <c r="F140">
        <v>202204</v>
      </c>
      <c r="G140" t="s">
        <v>178</v>
      </c>
      <c r="H140">
        <v>2476.8000000000002</v>
      </c>
    </row>
    <row r="141" spans="1:8">
      <c r="A141">
        <v>7883</v>
      </c>
      <c r="B141" t="s">
        <v>2360</v>
      </c>
      <c r="C141">
        <v>5697</v>
      </c>
      <c r="D141" t="s">
        <v>2201</v>
      </c>
      <c r="E141" t="s">
        <v>2361</v>
      </c>
      <c r="F141">
        <v>202204</v>
      </c>
      <c r="G141" t="s">
        <v>180</v>
      </c>
      <c r="H141">
        <v>1230.33</v>
      </c>
    </row>
    <row r="142" spans="1:8">
      <c r="A142">
        <v>7883</v>
      </c>
      <c r="B142" t="s">
        <v>2360</v>
      </c>
      <c r="C142">
        <v>5697</v>
      </c>
      <c r="D142" t="s">
        <v>2201</v>
      </c>
      <c r="E142" t="s">
        <v>2361</v>
      </c>
      <c r="F142">
        <v>202204</v>
      </c>
      <c r="G142" t="s">
        <v>182</v>
      </c>
      <c r="H142">
        <v>119241</v>
      </c>
    </row>
    <row r="143" spans="1:8">
      <c r="A143">
        <v>7883</v>
      </c>
      <c r="B143" t="s">
        <v>2360</v>
      </c>
      <c r="C143">
        <v>5697</v>
      </c>
      <c r="D143" t="s">
        <v>2201</v>
      </c>
      <c r="E143" t="s">
        <v>2361</v>
      </c>
      <c r="F143">
        <v>202204</v>
      </c>
      <c r="G143" t="s">
        <v>184</v>
      </c>
      <c r="H143">
        <v>3742</v>
      </c>
    </row>
    <row r="144" spans="1:8">
      <c r="A144">
        <v>7883</v>
      </c>
      <c r="B144" t="s">
        <v>2360</v>
      </c>
      <c r="C144">
        <v>5697</v>
      </c>
      <c r="D144" t="s">
        <v>2201</v>
      </c>
      <c r="E144" t="s">
        <v>2361</v>
      </c>
      <c r="F144">
        <v>202204</v>
      </c>
      <c r="G144" t="s">
        <v>192</v>
      </c>
      <c r="H144">
        <v>0</v>
      </c>
    </row>
    <row r="145" spans="1:8">
      <c r="A145">
        <v>7883</v>
      </c>
      <c r="B145" t="s">
        <v>2360</v>
      </c>
      <c r="C145">
        <v>5697</v>
      </c>
      <c r="D145" t="s">
        <v>2201</v>
      </c>
      <c r="E145" t="s">
        <v>2361</v>
      </c>
      <c r="F145">
        <v>202204</v>
      </c>
      <c r="G145" t="s">
        <v>2170</v>
      </c>
      <c r="H145">
        <v>2034.04</v>
      </c>
    </row>
    <row r="146" spans="1:8">
      <c r="A146">
        <v>7883</v>
      </c>
      <c r="B146" t="s">
        <v>2360</v>
      </c>
      <c r="C146">
        <v>5697</v>
      </c>
      <c r="D146" t="s">
        <v>2201</v>
      </c>
      <c r="E146" t="s">
        <v>2361</v>
      </c>
      <c r="F146">
        <v>202204</v>
      </c>
      <c r="G146" t="s">
        <v>186</v>
      </c>
      <c r="H146">
        <v>12907</v>
      </c>
    </row>
    <row r="147" spans="1:8">
      <c r="A147">
        <v>7883</v>
      </c>
      <c r="B147" t="s">
        <v>2360</v>
      </c>
      <c r="C147">
        <v>5697</v>
      </c>
      <c r="D147" t="s">
        <v>2201</v>
      </c>
      <c r="E147" t="s">
        <v>2361</v>
      </c>
      <c r="F147">
        <v>202204</v>
      </c>
      <c r="G147" t="s">
        <v>2169</v>
      </c>
      <c r="H147">
        <v>313.3</v>
      </c>
    </row>
    <row r="148" spans="1:8">
      <c r="A148">
        <v>7883</v>
      </c>
      <c r="B148" t="s">
        <v>2360</v>
      </c>
      <c r="C148">
        <v>5697</v>
      </c>
      <c r="D148" t="s">
        <v>2201</v>
      </c>
      <c r="E148" t="s">
        <v>2361</v>
      </c>
      <c r="F148">
        <v>202204</v>
      </c>
      <c r="G148" t="s">
        <v>2166</v>
      </c>
      <c r="H148">
        <v>11.83</v>
      </c>
    </row>
    <row r="149" spans="1:8">
      <c r="A149">
        <v>7883</v>
      </c>
      <c r="B149" t="s">
        <v>2360</v>
      </c>
      <c r="C149">
        <v>5697</v>
      </c>
      <c r="D149" t="s">
        <v>2201</v>
      </c>
      <c r="E149" t="s">
        <v>2361</v>
      </c>
      <c r="F149">
        <v>202204</v>
      </c>
      <c r="G149" t="s">
        <v>2167</v>
      </c>
      <c r="H149">
        <v>21.22</v>
      </c>
    </row>
    <row r="150" spans="1:8">
      <c r="A150">
        <v>7883</v>
      </c>
      <c r="B150" t="s">
        <v>2360</v>
      </c>
      <c r="C150">
        <v>5697</v>
      </c>
      <c r="D150" t="s">
        <v>2201</v>
      </c>
      <c r="E150" t="s">
        <v>2361</v>
      </c>
      <c r="F150">
        <v>202204</v>
      </c>
      <c r="G150" t="s">
        <v>2168</v>
      </c>
      <c r="H150">
        <v>14.37</v>
      </c>
    </row>
    <row r="151" spans="1:8">
      <c r="A151">
        <v>7883</v>
      </c>
      <c r="B151" t="s">
        <v>2360</v>
      </c>
      <c r="C151">
        <v>5697</v>
      </c>
      <c r="D151" t="s">
        <v>2201</v>
      </c>
      <c r="E151" t="s">
        <v>2361</v>
      </c>
      <c r="F151">
        <v>202204</v>
      </c>
      <c r="G151" t="s">
        <v>2171</v>
      </c>
      <c r="H151">
        <v>62013.47</v>
      </c>
    </row>
    <row r="152" spans="1:8">
      <c r="A152">
        <v>7883</v>
      </c>
      <c r="B152" t="s">
        <v>2360</v>
      </c>
      <c r="C152">
        <v>5697</v>
      </c>
      <c r="D152" t="s">
        <v>2201</v>
      </c>
      <c r="E152" t="s">
        <v>2361</v>
      </c>
      <c r="F152">
        <v>202205</v>
      </c>
      <c r="G152" t="s">
        <v>190</v>
      </c>
      <c r="H152">
        <v>8950</v>
      </c>
    </row>
    <row r="153" spans="1:8">
      <c r="A153">
        <v>7883</v>
      </c>
      <c r="B153" t="s">
        <v>2360</v>
      </c>
      <c r="C153">
        <v>5697</v>
      </c>
      <c r="D153" t="s">
        <v>2201</v>
      </c>
      <c r="E153" t="s">
        <v>2361</v>
      </c>
      <c r="F153">
        <v>202205</v>
      </c>
      <c r="G153" t="s">
        <v>191</v>
      </c>
      <c r="H153">
        <v>0</v>
      </c>
    </row>
    <row r="154" spans="1:8">
      <c r="A154">
        <v>7883</v>
      </c>
      <c r="B154" t="s">
        <v>2360</v>
      </c>
      <c r="C154">
        <v>5697</v>
      </c>
      <c r="D154" t="s">
        <v>2201</v>
      </c>
      <c r="E154" t="s">
        <v>2361</v>
      </c>
      <c r="F154">
        <v>202205</v>
      </c>
      <c r="G154" t="s">
        <v>176</v>
      </c>
      <c r="H154">
        <v>0</v>
      </c>
    </row>
    <row r="155" spans="1:8">
      <c r="A155">
        <v>7883</v>
      </c>
      <c r="B155" t="s">
        <v>2360</v>
      </c>
      <c r="C155">
        <v>5697</v>
      </c>
      <c r="D155" t="s">
        <v>2201</v>
      </c>
      <c r="E155" t="s">
        <v>2361</v>
      </c>
      <c r="F155">
        <v>202205</v>
      </c>
      <c r="G155" t="s">
        <v>178</v>
      </c>
      <c r="H155">
        <v>2269.44</v>
      </c>
    </row>
    <row r="156" spans="1:8">
      <c r="A156">
        <v>7883</v>
      </c>
      <c r="B156" t="s">
        <v>2360</v>
      </c>
      <c r="C156">
        <v>5697</v>
      </c>
      <c r="D156" t="s">
        <v>2201</v>
      </c>
      <c r="E156" t="s">
        <v>2361</v>
      </c>
      <c r="F156">
        <v>202205</v>
      </c>
      <c r="G156" t="s">
        <v>180</v>
      </c>
      <c r="H156">
        <v>186.62</v>
      </c>
    </row>
    <row r="157" spans="1:8">
      <c r="A157">
        <v>7883</v>
      </c>
      <c r="B157" t="s">
        <v>2360</v>
      </c>
      <c r="C157">
        <v>5697</v>
      </c>
      <c r="D157" t="s">
        <v>2201</v>
      </c>
      <c r="E157" t="s">
        <v>2361</v>
      </c>
      <c r="F157">
        <v>202205</v>
      </c>
      <c r="G157" t="s">
        <v>182</v>
      </c>
      <c r="H157">
        <v>77246</v>
      </c>
    </row>
    <row r="158" spans="1:8">
      <c r="A158">
        <v>7883</v>
      </c>
      <c r="B158" t="s">
        <v>2360</v>
      </c>
      <c r="C158">
        <v>5697</v>
      </c>
      <c r="D158" t="s">
        <v>2201</v>
      </c>
      <c r="E158" t="s">
        <v>2361</v>
      </c>
      <c r="F158">
        <v>202205</v>
      </c>
      <c r="G158" t="s">
        <v>184</v>
      </c>
      <c r="H158">
        <v>323</v>
      </c>
    </row>
    <row r="159" spans="1:8">
      <c r="A159">
        <v>7883</v>
      </c>
      <c r="B159" t="s">
        <v>2360</v>
      </c>
      <c r="C159">
        <v>5697</v>
      </c>
      <c r="D159" t="s">
        <v>2201</v>
      </c>
      <c r="E159" t="s">
        <v>2361</v>
      </c>
      <c r="F159">
        <v>202205</v>
      </c>
      <c r="G159" t="s">
        <v>192</v>
      </c>
      <c r="H159">
        <v>0</v>
      </c>
    </row>
    <row r="160" spans="1:8">
      <c r="A160">
        <v>7883</v>
      </c>
      <c r="B160" t="s">
        <v>2360</v>
      </c>
      <c r="C160">
        <v>5697</v>
      </c>
      <c r="D160" t="s">
        <v>2201</v>
      </c>
      <c r="E160" t="s">
        <v>2361</v>
      </c>
      <c r="F160">
        <v>202205</v>
      </c>
      <c r="G160" t="s">
        <v>2170</v>
      </c>
      <c r="H160">
        <v>759.39</v>
      </c>
    </row>
    <row r="161" spans="1:8">
      <c r="A161">
        <v>7883</v>
      </c>
      <c r="B161" t="s">
        <v>2360</v>
      </c>
      <c r="C161">
        <v>5697</v>
      </c>
      <c r="D161" t="s">
        <v>2201</v>
      </c>
      <c r="E161" t="s">
        <v>2361</v>
      </c>
      <c r="F161">
        <v>202205</v>
      </c>
      <c r="G161" t="s">
        <v>186</v>
      </c>
      <c r="H161">
        <v>12419</v>
      </c>
    </row>
    <row r="162" spans="1:8">
      <c r="A162">
        <v>7883</v>
      </c>
      <c r="B162" t="s">
        <v>2360</v>
      </c>
      <c r="C162">
        <v>5697</v>
      </c>
      <c r="D162" t="s">
        <v>2201</v>
      </c>
      <c r="E162" t="s">
        <v>2361</v>
      </c>
      <c r="F162">
        <v>202205</v>
      </c>
      <c r="G162" t="s">
        <v>2169</v>
      </c>
      <c r="H162">
        <v>313.3</v>
      </c>
    </row>
    <row r="163" spans="1:8">
      <c r="A163">
        <v>7883</v>
      </c>
      <c r="B163" t="s">
        <v>2360</v>
      </c>
      <c r="C163">
        <v>5697</v>
      </c>
      <c r="D163" t="s">
        <v>2201</v>
      </c>
      <c r="E163" t="s">
        <v>2361</v>
      </c>
      <c r="F163">
        <v>202205</v>
      </c>
      <c r="G163" t="s">
        <v>2166</v>
      </c>
      <c r="H163">
        <v>11.83</v>
      </c>
    </row>
    <row r="164" spans="1:8">
      <c r="A164">
        <v>7883</v>
      </c>
      <c r="B164" t="s">
        <v>2360</v>
      </c>
      <c r="C164">
        <v>5697</v>
      </c>
      <c r="D164" t="s">
        <v>2201</v>
      </c>
      <c r="E164" t="s">
        <v>2361</v>
      </c>
      <c r="F164">
        <v>202205</v>
      </c>
      <c r="G164" t="s">
        <v>2167</v>
      </c>
      <c r="H164">
        <v>21.22</v>
      </c>
    </row>
    <row r="165" spans="1:8">
      <c r="A165">
        <v>7883</v>
      </c>
      <c r="B165" t="s">
        <v>2360</v>
      </c>
      <c r="C165">
        <v>5697</v>
      </c>
      <c r="D165" t="s">
        <v>2201</v>
      </c>
      <c r="E165" t="s">
        <v>2361</v>
      </c>
      <c r="F165">
        <v>202205</v>
      </c>
      <c r="G165" t="s">
        <v>2168</v>
      </c>
      <c r="H165">
        <v>14.37</v>
      </c>
    </row>
    <row r="166" spans="1:8">
      <c r="A166">
        <v>7883</v>
      </c>
      <c r="B166" t="s">
        <v>2360</v>
      </c>
      <c r="C166">
        <v>5697</v>
      </c>
      <c r="D166" t="s">
        <v>2201</v>
      </c>
      <c r="E166" t="s">
        <v>2361</v>
      </c>
      <c r="F166">
        <v>202205</v>
      </c>
      <c r="G166" t="s">
        <v>2171</v>
      </c>
      <c r="H166">
        <v>35485.620000000003</v>
      </c>
    </row>
    <row r="167" spans="1:8">
      <c r="A167">
        <v>7883</v>
      </c>
      <c r="B167" t="s">
        <v>2360</v>
      </c>
      <c r="C167">
        <v>5697</v>
      </c>
      <c r="D167" t="s">
        <v>2201</v>
      </c>
      <c r="E167" t="s">
        <v>2361</v>
      </c>
      <c r="F167">
        <v>202206</v>
      </c>
      <c r="G167" t="s">
        <v>190</v>
      </c>
      <c r="H167">
        <v>8950</v>
      </c>
    </row>
    <row r="168" spans="1:8">
      <c r="A168">
        <v>7883</v>
      </c>
      <c r="B168" t="s">
        <v>2360</v>
      </c>
      <c r="C168">
        <v>5697</v>
      </c>
      <c r="D168" t="s">
        <v>2201</v>
      </c>
      <c r="E168" t="s">
        <v>2361</v>
      </c>
      <c r="F168">
        <v>202206</v>
      </c>
      <c r="G168" t="s">
        <v>191</v>
      </c>
      <c r="H168">
        <v>0</v>
      </c>
    </row>
    <row r="169" spans="1:8">
      <c r="A169">
        <v>7883</v>
      </c>
      <c r="B169" t="s">
        <v>2360</v>
      </c>
      <c r="C169">
        <v>5697</v>
      </c>
      <c r="D169" t="s">
        <v>2201</v>
      </c>
      <c r="E169" t="s">
        <v>2361</v>
      </c>
      <c r="F169">
        <v>202206</v>
      </c>
      <c r="G169" t="s">
        <v>176</v>
      </c>
      <c r="H169">
        <v>-3623.43</v>
      </c>
    </row>
    <row r="170" spans="1:8">
      <c r="A170">
        <v>7883</v>
      </c>
      <c r="B170" t="s">
        <v>2360</v>
      </c>
      <c r="C170">
        <v>5697</v>
      </c>
      <c r="D170" t="s">
        <v>2201</v>
      </c>
      <c r="E170" t="s">
        <v>2361</v>
      </c>
      <c r="F170">
        <v>202206</v>
      </c>
      <c r="G170" t="s">
        <v>178</v>
      </c>
      <c r="H170">
        <v>2257.92</v>
      </c>
    </row>
    <row r="171" spans="1:8">
      <c r="A171">
        <v>7883</v>
      </c>
      <c r="B171" t="s">
        <v>2360</v>
      </c>
      <c r="C171">
        <v>5697</v>
      </c>
      <c r="D171" t="s">
        <v>2201</v>
      </c>
      <c r="E171" t="s">
        <v>2361</v>
      </c>
      <c r="F171">
        <v>202206</v>
      </c>
      <c r="G171" t="s">
        <v>180</v>
      </c>
      <c r="H171">
        <v>304.12</v>
      </c>
    </row>
    <row r="172" spans="1:8">
      <c r="A172">
        <v>7883</v>
      </c>
      <c r="B172" t="s">
        <v>2360</v>
      </c>
      <c r="C172">
        <v>5697</v>
      </c>
      <c r="D172" t="s">
        <v>2201</v>
      </c>
      <c r="E172" t="s">
        <v>2361</v>
      </c>
      <c r="F172">
        <v>202206</v>
      </c>
      <c r="G172" t="s">
        <v>182</v>
      </c>
      <c r="H172">
        <v>94698</v>
      </c>
    </row>
    <row r="173" spans="1:8">
      <c r="A173">
        <v>7883</v>
      </c>
      <c r="B173" t="s">
        <v>2360</v>
      </c>
      <c r="C173">
        <v>5697</v>
      </c>
      <c r="D173" t="s">
        <v>2201</v>
      </c>
      <c r="E173" t="s">
        <v>2361</v>
      </c>
      <c r="F173">
        <v>202206</v>
      </c>
      <c r="G173" t="s">
        <v>184</v>
      </c>
      <c r="H173">
        <v>1855</v>
      </c>
    </row>
    <row r="174" spans="1:8">
      <c r="A174">
        <v>7883</v>
      </c>
      <c r="B174" t="s">
        <v>2360</v>
      </c>
      <c r="C174">
        <v>5697</v>
      </c>
      <c r="D174" t="s">
        <v>2201</v>
      </c>
      <c r="E174" t="s">
        <v>2361</v>
      </c>
      <c r="F174">
        <v>202206</v>
      </c>
      <c r="G174" t="s">
        <v>192</v>
      </c>
      <c r="H174">
        <v>0</v>
      </c>
    </row>
    <row r="175" spans="1:8">
      <c r="A175">
        <v>7883</v>
      </c>
      <c r="B175" t="s">
        <v>2360</v>
      </c>
      <c r="C175">
        <v>5697</v>
      </c>
      <c r="D175" t="s">
        <v>2201</v>
      </c>
      <c r="E175" t="s">
        <v>2361</v>
      </c>
      <c r="F175">
        <v>202206</v>
      </c>
      <c r="G175" t="s">
        <v>2170</v>
      </c>
      <c r="H175">
        <v>1214.98</v>
      </c>
    </row>
    <row r="176" spans="1:8">
      <c r="A176">
        <v>7883</v>
      </c>
      <c r="B176" t="s">
        <v>2360</v>
      </c>
      <c r="C176">
        <v>5697</v>
      </c>
      <c r="D176" t="s">
        <v>2201</v>
      </c>
      <c r="E176" t="s">
        <v>2361</v>
      </c>
      <c r="F176">
        <v>202206</v>
      </c>
      <c r="G176" t="s">
        <v>186</v>
      </c>
      <c r="H176">
        <v>14088</v>
      </c>
    </row>
    <row r="177" spans="1:8">
      <c r="A177">
        <v>7883</v>
      </c>
      <c r="B177" t="s">
        <v>2360</v>
      </c>
      <c r="C177">
        <v>5697</v>
      </c>
      <c r="D177" t="s">
        <v>2201</v>
      </c>
      <c r="E177" t="s">
        <v>2361</v>
      </c>
      <c r="F177">
        <v>202206</v>
      </c>
      <c r="G177" t="s">
        <v>2169</v>
      </c>
      <c r="H177">
        <v>313.3</v>
      </c>
    </row>
    <row r="178" spans="1:8">
      <c r="A178">
        <v>7883</v>
      </c>
      <c r="B178" t="s">
        <v>2360</v>
      </c>
      <c r="C178">
        <v>5697</v>
      </c>
      <c r="D178" t="s">
        <v>2201</v>
      </c>
      <c r="E178" t="s">
        <v>2361</v>
      </c>
      <c r="F178">
        <v>202206</v>
      </c>
      <c r="G178" t="s">
        <v>2166</v>
      </c>
      <c r="H178">
        <v>11.83</v>
      </c>
    </row>
    <row r="179" spans="1:8">
      <c r="A179">
        <v>7883</v>
      </c>
      <c r="B179" t="s">
        <v>2360</v>
      </c>
      <c r="C179">
        <v>5697</v>
      </c>
      <c r="D179" t="s">
        <v>2201</v>
      </c>
      <c r="E179" t="s">
        <v>2361</v>
      </c>
      <c r="F179">
        <v>202206</v>
      </c>
      <c r="G179" t="s">
        <v>2167</v>
      </c>
      <c r="H179">
        <v>21.22</v>
      </c>
    </row>
    <row r="180" spans="1:8">
      <c r="A180">
        <v>7883</v>
      </c>
      <c r="B180" t="s">
        <v>2360</v>
      </c>
      <c r="C180">
        <v>5697</v>
      </c>
      <c r="D180" t="s">
        <v>2201</v>
      </c>
      <c r="E180" t="s">
        <v>2361</v>
      </c>
      <c r="F180">
        <v>202206</v>
      </c>
      <c r="G180" t="s">
        <v>2168</v>
      </c>
      <c r="H180">
        <v>14.37</v>
      </c>
    </row>
    <row r="181" spans="1:8">
      <c r="A181">
        <v>7883</v>
      </c>
      <c r="B181" t="s">
        <v>2360</v>
      </c>
      <c r="C181">
        <v>5697</v>
      </c>
      <c r="D181" t="s">
        <v>2201</v>
      </c>
      <c r="E181" t="s">
        <v>2361</v>
      </c>
      <c r="F181">
        <v>202206</v>
      </c>
      <c r="G181" t="s">
        <v>2171</v>
      </c>
      <c r="H181">
        <v>34947.65</v>
      </c>
    </row>
    <row r="182" spans="1:8">
      <c r="A182">
        <v>7883</v>
      </c>
      <c r="B182" t="s">
        <v>2360</v>
      </c>
      <c r="C182">
        <v>5697</v>
      </c>
      <c r="D182" t="s">
        <v>2201</v>
      </c>
      <c r="E182" t="s">
        <v>2361</v>
      </c>
      <c r="F182">
        <v>202207</v>
      </c>
      <c r="G182" t="s">
        <v>190</v>
      </c>
      <c r="H182">
        <v>8950</v>
      </c>
    </row>
    <row r="183" spans="1:8">
      <c r="A183">
        <v>7883</v>
      </c>
      <c r="B183" t="s">
        <v>2360</v>
      </c>
      <c r="C183">
        <v>5697</v>
      </c>
      <c r="D183" t="s">
        <v>2201</v>
      </c>
      <c r="E183" t="s">
        <v>2361</v>
      </c>
      <c r="F183">
        <v>202207</v>
      </c>
      <c r="G183" t="s">
        <v>191</v>
      </c>
      <c r="H183">
        <v>0</v>
      </c>
    </row>
    <row r="184" spans="1:8">
      <c r="A184">
        <v>7883</v>
      </c>
      <c r="B184" t="s">
        <v>2360</v>
      </c>
      <c r="C184">
        <v>5697</v>
      </c>
      <c r="D184" t="s">
        <v>2201</v>
      </c>
      <c r="E184" t="s">
        <v>2361</v>
      </c>
      <c r="F184">
        <v>202207</v>
      </c>
      <c r="G184" t="s">
        <v>176</v>
      </c>
      <c r="H184">
        <v>0</v>
      </c>
    </row>
    <row r="185" spans="1:8">
      <c r="A185">
        <v>7883</v>
      </c>
      <c r="B185" t="s">
        <v>2360</v>
      </c>
      <c r="C185">
        <v>5697</v>
      </c>
      <c r="D185" t="s">
        <v>2201</v>
      </c>
      <c r="E185" t="s">
        <v>2361</v>
      </c>
      <c r="F185">
        <v>202207</v>
      </c>
      <c r="G185" t="s">
        <v>178</v>
      </c>
      <c r="H185">
        <v>2592</v>
      </c>
    </row>
    <row r="186" spans="1:8">
      <c r="A186">
        <v>7883</v>
      </c>
      <c r="B186" t="s">
        <v>2360</v>
      </c>
      <c r="C186">
        <v>5697</v>
      </c>
      <c r="D186" t="s">
        <v>2201</v>
      </c>
      <c r="E186" t="s">
        <v>2361</v>
      </c>
      <c r="F186">
        <v>202207</v>
      </c>
      <c r="G186" t="s">
        <v>180</v>
      </c>
      <c r="H186">
        <v>1073.6600000000001</v>
      </c>
    </row>
    <row r="187" spans="1:8">
      <c r="A187">
        <v>7883</v>
      </c>
      <c r="B187" t="s">
        <v>2360</v>
      </c>
      <c r="C187">
        <v>5697</v>
      </c>
      <c r="D187" t="s">
        <v>2201</v>
      </c>
      <c r="E187" t="s">
        <v>2361</v>
      </c>
      <c r="F187">
        <v>202207</v>
      </c>
      <c r="G187" t="s">
        <v>182</v>
      </c>
      <c r="H187">
        <v>48381</v>
      </c>
    </row>
    <row r="188" spans="1:8">
      <c r="A188">
        <v>7883</v>
      </c>
      <c r="B188" t="s">
        <v>2360</v>
      </c>
      <c r="C188">
        <v>5697</v>
      </c>
      <c r="D188" t="s">
        <v>2201</v>
      </c>
      <c r="E188" t="s">
        <v>2361</v>
      </c>
      <c r="F188">
        <v>202207</v>
      </c>
      <c r="G188" t="s">
        <v>184</v>
      </c>
      <c r="H188">
        <v>566</v>
      </c>
    </row>
    <row r="189" spans="1:8">
      <c r="A189">
        <v>7883</v>
      </c>
      <c r="B189" t="s">
        <v>2360</v>
      </c>
      <c r="C189">
        <v>5697</v>
      </c>
      <c r="D189" t="s">
        <v>2201</v>
      </c>
      <c r="E189" t="s">
        <v>2361</v>
      </c>
      <c r="F189">
        <v>202207</v>
      </c>
      <c r="G189" t="s">
        <v>192</v>
      </c>
      <c r="H189">
        <v>0</v>
      </c>
    </row>
    <row r="190" spans="1:8">
      <c r="A190">
        <v>7883</v>
      </c>
      <c r="B190" t="s">
        <v>2360</v>
      </c>
      <c r="C190">
        <v>5697</v>
      </c>
      <c r="D190" t="s">
        <v>2201</v>
      </c>
      <c r="E190" t="s">
        <v>2361</v>
      </c>
      <c r="F190">
        <v>202207</v>
      </c>
      <c r="G190" t="s">
        <v>2170</v>
      </c>
      <c r="H190">
        <v>2342.19</v>
      </c>
    </row>
    <row r="191" spans="1:8">
      <c r="A191">
        <v>7883</v>
      </c>
      <c r="B191" t="s">
        <v>2360</v>
      </c>
      <c r="C191">
        <v>5697</v>
      </c>
      <c r="D191" t="s">
        <v>2201</v>
      </c>
      <c r="E191" t="s">
        <v>2361</v>
      </c>
      <c r="F191">
        <v>202207</v>
      </c>
      <c r="G191" t="s">
        <v>186</v>
      </c>
      <c r="H191">
        <v>14078</v>
      </c>
    </row>
    <row r="192" spans="1:8">
      <c r="A192">
        <v>7883</v>
      </c>
      <c r="B192" t="s">
        <v>2360</v>
      </c>
      <c r="C192">
        <v>5697</v>
      </c>
      <c r="D192" t="s">
        <v>2201</v>
      </c>
      <c r="E192" t="s">
        <v>2361</v>
      </c>
      <c r="F192">
        <v>202207</v>
      </c>
      <c r="G192" t="s">
        <v>2169</v>
      </c>
      <c r="H192">
        <v>313.3</v>
      </c>
    </row>
    <row r="193" spans="1:8">
      <c r="A193">
        <v>7883</v>
      </c>
      <c r="B193" t="s">
        <v>2360</v>
      </c>
      <c r="C193">
        <v>5697</v>
      </c>
      <c r="D193" t="s">
        <v>2201</v>
      </c>
      <c r="E193" t="s">
        <v>2361</v>
      </c>
      <c r="F193">
        <v>202207</v>
      </c>
      <c r="G193" t="s">
        <v>2166</v>
      </c>
      <c r="H193">
        <v>11.83</v>
      </c>
    </row>
    <row r="194" spans="1:8">
      <c r="A194">
        <v>7883</v>
      </c>
      <c r="B194" t="s">
        <v>2360</v>
      </c>
      <c r="C194">
        <v>5697</v>
      </c>
      <c r="D194" t="s">
        <v>2201</v>
      </c>
      <c r="E194" t="s">
        <v>2361</v>
      </c>
      <c r="F194">
        <v>202207</v>
      </c>
      <c r="G194" t="s">
        <v>2167</v>
      </c>
      <c r="H194">
        <v>21.22</v>
      </c>
    </row>
    <row r="195" spans="1:8">
      <c r="A195">
        <v>7883</v>
      </c>
      <c r="B195" t="s">
        <v>2360</v>
      </c>
      <c r="C195">
        <v>5697</v>
      </c>
      <c r="D195" t="s">
        <v>2201</v>
      </c>
      <c r="E195" t="s">
        <v>2361</v>
      </c>
      <c r="F195">
        <v>202207</v>
      </c>
      <c r="G195" t="s">
        <v>2168</v>
      </c>
      <c r="H195">
        <v>14.37</v>
      </c>
    </row>
    <row r="196" spans="1:8">
      <c r="A196">
        <v>7883</v>
      </c>
      <c r="B196" t="s">
        <v>2360</v>
      </c>
      <c r="C196">
        <v>5697</v>
      </c>
      <c r="D196" t="s">
        <v>2201</v>
      </c>
      <c r="E196" t="s">
        <v>2361</v>
      </c>
      <c r="F196">
        <v>202207</v>
      </c>
      <c r="G196" t="s">
        <v>2171</v>
      </c>
      <c r="H196">
        <v>59296</v>
      </c>
    </row>
    <row r="197" spans="1:8">
      <c r="A197">
        <v>7883</v>
      </c>
      <c r="B197" t="s">
        <v>2360</v>
      </c>
      <c r="C197">
        <v>5697</v>
      </c>
      <c r="D197" t="s">
        <v>2201</v>
      </c>
      <c r="E197" t="s">
        <v>2361</v>
      </c>
      <c r="F197">
        <v>202208</v>
      </c>
      <c r="G197" t="s">
        <v>190</v>
      </c>
      <c r="H197">
        <v>8950</v>
      </c>
    </row>
    <row r="198" spans="1:8">
      <c r="A198">
        <v>7883</v>
      </c>
      <c r="B198" t="s">
        <v>2360</v>
      </c>
      <c r="C198">
        <v>5697</v>
      </c>
      <c r="D198" t="s">
        <v>2201</v>
      </c>
      <c r="E198" t="s">
        <v>2361</v>
      </c>
      <c r="F198">
        <v>202208</v>
      </c>
      <c r="G198" t="s">
        <v>191</v>
      </c>
      <c r="H198">
        <v>0</v>
      </c>
    </row>
    <row r="199" spans="1:8">
      <c r="A199">
        <v>7883</v>
      </c>
      <c r="B199" t="s">
        <v>2360</v>
      </c>
      <c r="C199">
        <v>5697</v>
      </c>
      <c r="D199" t="s">
        <v>2201</v>
      </c>
      <c r="E199" t="s">
        <v>2361</v>
      </c>
      <c r="F199">
        <v>202208</v>
      </c>
      <c r="G199" t="s">
        <v>176</v>
      </c>
      <c r="H199">
        <v>-472.84</v>
      </c>
    </row>
    <row r="200" spans="1:8">
      <c r="A200">
        <v>7883</v>
      </c>
      <c r="B200" t="s">
        <v>2360</v>
      </c>
      <c r="C200">
        <v>5697</v>
      </c>
      <c r="D200" t="s">
        <v>2201</v>
      </c>
      <c r="E200" t="s">
        <v>2361</v>
      </c>
      <c r="F200">
        <v>202208</v>
      </c>
      <c r="G200" t="s">
        <v>178</v>
      </c>
      <c r="H200">
        <v>2502.14</v>
      </c>
    </row>
    <row r="201" spans="1:8">
      <c r="A201">
        <v>7883</v>
      </c>
      <c r="B201" t="s">
        <v>2360</v>
      </c>
      <c r="C201">
        <v>5697</v>
      </c>
      <c r="D201" t="s">
        <v>2201</v>
      </c>
      <c r="E201" t="s">
        <v>2361</v>
      </c>
      <c r="F201">
        <v>202208</v>
      </c>
      <c r="G201" t="s">
        <v>180</v>
      </c>
      <c r="H201">
        <v>974.59</v>
      </c>
    </row>
    <row r="202" spans="1:8">
      <c r="A202">
        <v>7883</v>
      </c>
      <c r="B202" t="s">
        <v>2360</v>
      </c>
      <c r="C202">
        <v>5697</v>
      </c>
      <c r="D202" t="s">
        <v>2201</v>
      </c>
      <c r="E202" t="s">
        <v>2361</v>
      </c>
      <c r="F202">
        <v>202208</v>
      </c>
      <c r="G202" t="s">
        <v>182</v>
      </c>
      <c r="H202">
        <v>330258</v>
      </c>
    </row>
    <row r="203" spans="1:8">
      <c r="A203">
        <v>7883</v>
      </c>
      <c r="B203" t="s">
        <v>2360</v>
      </c>
      <c r="C203">
        <v>5697</v>
      </c>
      <c r="D203" t="s">
        <v>2201</v>
      </c>
      <c r="E203" t="s">
        <v>2361</v>
      </c>
      <c r="F203">
        <v>202208</v>
      </c>
      <c r="G203" t="s">
        <v>184</v>
      </c>
      <c r="H203">
        <v>24340</v>
      </c>
    </row>
    <row r="204" spans="1:8">
      <c r="A204">
        <v>7883</v>
      </c>
      <c r="B204" t="s">
        <v>2360</v>
      </c>
      <c r="C204">
        <v>5697</v>
      </c>
      <c r="D204" t="s">
        <v>2201</v>
      </c>
      <c r="E204" t="s">
        <v>2361</v>
      </c>
      <c r="F204">
        <v>202208</v>
      </c>
      <c r="G204" t="s">
        <v>192</v>
      </c>
      <c r="H204">
        <v>0</v>
      </c>
    </row>
    <row r="205" spans="1:8">
      <c r="A205">
        <v>7883</v>
      </c>
      <c r="B205" t="s">
        <v>2360</v>
      </c>
      <c r="C205">
        <v>5697</v>
      </c>
      <c r="D205" t="s">
        <v>2201</v>
      </c>
      <c r="E205" t="s">
        <v>2361</v>
      </c>
      <c r="F205">
        <v>202208</v>
      </c>
      <c r="G205" t="s">
        <v>2170</v>
      </c>
      <c r="H205">
        <v>3068.6</v>
      </c>
    </row>
    <row r="206" spans="1:8">
      <c r="A206">
        <v>7883</v>
      </c>
      <c r="B206" t="s">
        <v>2360</v>
      </c>
      <c r="C206">
        <v>5697</v>
      </c>
      <c r="D206" t="s">
        <v>2201</v>
      </c>
      <c r="E206" t="s">
        <v>2361</v>
      </c>
      <c r="F206">
        <v>202208</v>
      </c>
      <c r="G206" t="s">
        <v>186</v>
      </c>
      <c r="H206">
        <v>14586</v>
      </c>
    </row>
    <row r="207" spans="1:8">
      <c r="A207">
        <v>7883</v>
      </c>
      <c r="B207" t="s">
        <v>2360</v>
      </c>
      <c r="C207">
        <v>5697</v>
      </c>
      <c r="D207" t="s">
        <v>2201</v>
      </c>
      <c r="E207" t="s">
        <v>2361</v>
      </c>
      <c r="F207">
        <v>202208</v>
      </c>
      <c r="G207" t="s">
        <v>2169</v>
      </c>
      <c r="H207">
        <v>313.3</v>
      </c>
    </row>
    <row r="208" spans="1:8">
      <c r="A208">
        <v>7883</v>
      </c>
      <c r="B208" t="s">
        <v>2360</v>
      </c>
      <c r="C208">
        <v>5697</v>
      </c>
      <c r="D208" t="s">
        <v>2201</v>
      </c>
      <c r="E208" t="s">
        <v>2361</v>
      </c>
      <c r="F208">
        <v>202208</v>
      </c>
      <c r="G208" t="s">
        <v>2166</v>
      </c>
      <c r="H208">
        <v>11.83</v>
      </c>
    </row>
    <row r="209" spans="1:8">
      <c r="A209">
        <v>7883</v>
      </c>
      <c r="B209" t="s">
        <v>2360</v>
      </c>
      <c r="C209">
        <v>5697</v>
      </c>
      <c r="D209" t="s">
        <v>2201</v>
      </c>
      <c r="E209" t="s">
        <v>2361</v>
      </c>
      <c r="F209">
        <v>202208</v>
      </c>
      <c r="G209" t="s">
        <v>2167</v>
      </c>
      <c r="H209">
        <v>21.22</v>
      </c>
    </row>
    <row r="210" spans="1:8">
      <c r="A210">
        <v>7883</v>
      </c>
      <c r="B210" t="s">
        <v>2360</v>
      </c>
      <c r="C210">
        <v>5697</v>
      </c>
      <c r="D210" t="s">
        <v>2201</v>
      </c>
      <c r="E210" t="s">
        <v>2361</v>
      </c>
      <c r="F210">
        <v>202208</v>
      </c>
      <c r="G210" t="s">
        <v>2168</v>
      </c>
      <c r="H210">
        <v>14.37</v>
      </c>
    </row>
    <row r="211" spans="1:8">
      <c r="A211">
        <v>7883</v>
      </c>
      <c r="B211" t="s">
        <v>2360</v>
      </c>
      <c r="C211">
        <v>5697</v>
      </c>
      <c r="D211" t="s">
        <v>2201</v>
      </c>
      <c r="E211" t="s">
        <v>2361</v>
      </c>
      <c r="F211">
        <v>202208</v>
      </c>
      <c r="G211" t="s">
        <v>2171</v>
      </c>
      <c r="H211">
        <v>60776.45</v>
      </c>
    </row>
    <row r="212" spans="1:8">
      <c r="A212">
        <v>7883</v>
      </c>
      <c r="B212" t="s">
        <v>2360</v>
      </c>
      <c r="C212">
        <v>5697</v>
      </c>
      <c r="D212" t="s">
        <v>2201</v>
      </c>
      <c r="E212" t="s">
        <v>2361</v>
      </c>
      <c r="F212">
        <v>202106</v>
      </c>
      <c r="G212" t="s">
        <v>190</v>
      </c>
      <c r="H212">
        <v>816778.05</v>
      </c>
    </row>
    <row r="213" spans="1:8">
      <c r="A213">
        <v>7883</v>
      </c>
      <c r="B213" t="s">
        <v>2360</v>
      </c>
      <c r="C213">
        <v>5697</v>
      </c>
      <c r="D213" t="s">
        <v>2201</v>
      </c>
      <c r="E213" t="s">
        <v>2361</v>
      </c>
      <c r="F213">
        <v>202106</v>
      </c>
      <c r="G213" t="s">
        <v>191</v>
      </c>
      <c r="H213">
        <v>64449.760000000002</v>
      </c>
    </row>
    <row r="214" spans="1:8">
      <c r="A214">
        <v>7883</v>
      </c>
      <c r="B214" t="s">
        <v>2360</v>
      </c>
      <c r="C214">
        <v>5697</v>
      </c>
      <c r="D214" t="s">
        <v>2201</v>
      </c>
      <c r="E214" t="s">
        <v>2361</v>
      </c>
      <c r="F214">
        <v>202106</v>
      </c>
      <c r="G214" t="s">
        <v>176</v>
      </c>
      <c r="H214">
        <v>-9363.07</v>
      </c>
    </row>
    <row r="215" spans="1:8">
      <c r="A215">
        <v>7883</v>
      </c>
      <c r="B215" t="s">
        <v>2360</v>
      </c>
      <c r="C215">
        <v>5697</v>
      </c>
      <c r="D215" t="s">
        <v>2201</v>
      </c>
      <c r="E215" t="s">
        <v>2361</v>
      </c>
      <c r="F215">
        <v>202106</v>
      </c>
      <c r="G215" t="s">
        <v>178</v>
      </c>
      <c r="H215">
        <v>2679.55</v>
      </c>
    </row>
    <row r="216" spans="1:8">
      <c r="A216">
        <v>7883</v>
      </c>
      <c r="B216" t="s">
        <v>2360</v>
      </c>
      <c r="C216">
        <v>5697</v>
      </c>
      <c r="D216" t="s">
        <v>2201</v>
      </c>
      <c r="E216" t="s">
        <v>2361</v>
      </c>
      <c r="F216">
        <v>202106</v>
      </c>
      <c r="G216" t="s">
        <v>180</v>
      </c>
      <c r="H216">
        <v>1287.93</v>
      </c>
    </row>
    <row r="217" spans="1:8">
      <c r="A217">
        <v>7883</v>
      </c>
      <c r="B217" t="s">
        <v>2360</v>
      </c>
      <c r="C217">
        <v>5697</v>
      </c>
      <c r="D217" t="s">
        <v>2201</v>
      </c>
      <c r="E217" t="s">
        <v>2361</v>
      </c>
      <c r="F217">
        <v>202106</v>
      </c>
      <c r="G217" t="s">
        <v>182</v>
      </c>
      <c r="H217">
        <v>836753</v>
      </c>
    </row>
    <row r="218" spans="1:8">
      <c r="A218">
        <v>7883</v>
      </c>
      <c r="B218" t="s">
        <v>2360</v>
      </c>
      <c r="C218">
        <v>5697</v>
      </c>
      <c r="D218" t="s">
        <v>2201</v>
      </c>
      <c r="E218" t="s">
        <v>2361</v>
      </c>
      <c r="F218">
        <v>202106</v>
      </c>
      <c r="G218" t="s">
        <v>184</v>
      </c>
      <c r="H218">
        <v>65046</v>
      </c>
    </row>
    <row r="219" spans="1:8">
      <c r="A219">
        <v>7883</v>
      </c>
      <c r="B219" t="s">
        <v>2360</v>
      </c>
      <c r="C219">
        <v>5697</v>
      </c>
      <c r="D219" t="s">
        <v>2201</v>
      </c>
      <c r="E219" t="s">
        <v>2361</v>
      </c>
      <c r="F219">
        <v>202106</v>
      </c>
      <c r="G219" t="s">
        <v>192</v>
      </c>
      <c r="H219">
        <v>0</v>
      </c>
    </row>
    <row r="220" spans="1:8">
      <c r="A220">
        <v>7883</v>
      </c>
      <c r="B220" t="s">
        <v>2360</v>
      </c>
      <c r="C220">
        <v>5697</v>
      </c>
      <c r="D220" t="s">
        <v>2201</v>
      </c>
      <c r="E220" t="s">
        <v>2361</v>
      </c>
      <c r="F220">
        <v>202106</v>
      </c>
      <c r="G220" t="s">
        <v>2170</v>
      </c>
      <c r="H220">
        <v>16699.54</v>
      </c>
    </row>
    <row r="221" spans="1:8">
      <c r="A221">
        <v>7883</v>
      </c>
      <c r="B221" t="s">
        <v>2360</v>
      </c>
      <c r="C221">
        <v>5697</v>
      </c>
      <c r="D221" t="s">
        <v>2201</v>
      </c>
      <c r="E221" t="s">
        <v>2361</v>
      </c>
      <c r="F221">
        <v>202106</v>
      </c>
      <c r="G221" t="s">
        <v>186</v>
      </c>
      <c r="H221">
        <v>14198</v>
      </c>
    </row>
    <row r="222" spans="1:8">
      <c r="A222">
        <v>7883</v>
      </c>
      <c r="B222" t="s">
        <v>2360</v>
      </c>
      <c r="C222">
        <v>5697</v>
      </c>
      <c r="D222" t="s">
        <v>2201</v>
      </c>
      <c r="E222" t="s">
        <v>2361</v>
      </c>
      <c r="F222">
        <v>202106</v>
      </c>
      <c r="G222" t="s">
        <v>2169</v>
      </c>
      <c r="H222">
        <v>203.32</v>
      </c>
    </row>
    <row r="223" spans="1:8">
      <c r="A223">
        <v>7883</v>
      </c>
      <c r="B223" t="s">
        <v>2360</v>
      </c>
      <c r="C223">
        <v>5697</v>
      </c>
      <c r="D223" t="s">
        <v>2201</v>
      </c>
      <c r="E223" t="s">
        <v>2361</v>
      </c>
      <c r="F223">
        <v>202106</v>
      </c>
      <c r="G223" t="s">
        <v>2166</v>
      </c>
      <c r="H223">
        <v>12.33</v>
      </c>
    </row>
    <row r="224" spans="1:8">
      <c r="A224">
        <v>7883</v>
      </c>
      <c r="B224" t="s">
        <v>2360</v>
      </c>
      <c r="C224">
        <v>5697</v>
      </c>
      <c r="D224" t="s">
        <v>2201</v>
      </c>
      <c r="E224" t="s">
        <v>2361</v>
      </c>
      <c r="F224">
        <v>202106</v>
      </c>
      <c r="G224" t="s">
        <v>2167</v>
      </c>
      <c r="H224">
        <v>23.94</v>
      </c>
    </row>
    <row r="225" spans="1:8">
      <c r="A225">
        <v>7883</v>
      </c>
      <c r="B225" t="s">
        <v>2360</v>
      </c>
      <c r="C225">
        <v>5697</v>
      </c>
      <c r="D225" t="s">
        <v>2201</v>
      </c>
      <c r="E225" t="s">
        <v>2361</v>
      </c>
      <c r="F225">
        <v>202106</v>
      </c>
      <c r="G225" t="s">
        <v>2168</v>
      </c>
      <c r="H225">
        <v>10.17</v>
      </c>
    </row>
    <row r="226" spans="1:8">
      <c r="A226">
        <v>7883</v>
      </c>
      <c r="B226" t="s">
        <v>2360</v>
      </c>
      <c r="C226">
        <v>5697</v>
      </c>
      <c r="D226" t="s">
        <v>2201</v>
      </c>
      <c r="E226" t="s">
        <v>2361</v>
      </c>
      <c r="F226">
        <v>202106</v>
      </c>
      <c r="G226" t="s">
        <v>2171</v>
      </c>
      <c r="H226">
        <v>259550.71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Normal="100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2024</v>
      </c>
    </row>
    <row r="3" spans="1:50">
      <c r="A3" s="63" t="s">
        <v>195</v>
      </c>
      <c r="AI3" t="s">
        <v>2025</v>
      </c>
    </row>
    <row r="4" spans="1:50">
      <c r="A4" s="63" t="s">
        <v>196</v>
      </c>
    </row>
    <row r="7" spans="1:50">
      <c r="A7" s="624" t="s">
        <v>197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0" t="s">
        <v>198</v>
      </c>
      <c r="B9" s="500" t="s">
        <v>199</v>
      </c>
      <c r="C9" s="500" t="s">
        <v>200</v>
      </c>
      <c r="D9" s="500" t="s">
        <v>201</v>
      </c>
      <c r="E9" s="500" t="s">
        <v>202</v>
      </c>
      <c r="F9" s="500" t="s">
        <v>203</v>
      </c>
      <c r="G9" s="500" t="s">
        <v>210</v>
      </c>
      <c r="H9" s="501" t="s">
        <v>211</v>
      </c>
      <c r="I9" s="1733" t="s">
        <v>2286</v>
      </c>
      <c r="J9" s="500" t="s">
        <v>204</v>
      </c>
      <c r="K9" s="500" t="s">
        <v>205</v>
      </c>
      <c r="L9" s="500" t="s">
        <v>206</v>
      </c>
      <c r="M9" s="500" t="s">
        <v>207</v>
      </c>
      <c r="N9" s="500" t="s">
        <v>208</v>
      </c>
      <c r="O9" s="500" t="s">
        <v>212</v>
      </c>
      <c r="P9" s="501" t="s">
        <v>215</v>
      </c>
      <c r="Q9" s="501" t="s">
        <v>216</v>
      </c>
      <c r="R9" s="501" t="s">
        <v>217</v>
      </c>
      <c r="S9" s="501" t="s">
        <v>218</v>
      </c>
      <c r="T9" s="501" t="s">
        <v>2285</v>
      </c>
      <c r="X9" s="775" t="s">
        <v>198</v>
      </c>
      <c r="Y9" s="776" t="s">
        <v>219</v>
      </c>
      <c r="AB9" t="s">
        <v>198</v>
      </c>
      <c r="AC9" t="s">
        <v>2287</v>
      </c>
      <c r="AD9" s="232"/>
      <c r="AS9"/>
      <c r="AX9"/>
    </row>
    <row r="10" spans="1:50" s="9" customFormat="1" ht="31.5">
      <c r="A10" s="612" t="s">
        <v>220</v>
      </c>
      <c r="B10" s="612" t="s">
        <v>221</v>
      </c>
      <c r="C10" s="612">
        <v>5381</v>
      </c>
      <c r="D10" s="612" t="s">
        <v>222</v>
      </c>
      <c r="E10" s="612" t="s">
        <v>223</v>
      </c>
      <c r="F10" s="612" t="s">
        <v>224</v>
      </c>
      <c r="G10" s="612" t="s">
        <v>226</v>
      </c>
      <c r="H10" s="708" t="s">
        <v>227</v>
      </c>
      <c r="I10" s="1734">
        <v>44895</v>
      </c>
      <c r="J10" s="612">
        <v>8.1942000000000001E-2</v>
      </c>
      <c r="K10" s="612" t="s">
        <v>225</v>
      </c>
      <c r="L10" s="612">
        <v>104</v>
      </c>
      <c r="M10" s="612" t="s">
        <v>136</v>
      </c>
      <c r="N10" s="612">
        <v>145</v>
      </c>
      <c r="O10" s="612">
        <v>2024</v>
      </c>
      <c r="P10" s="1460">
        <v>0</v>
      </c>
      <c r="Q10" s="612"/>
      <c r="R10" s="708">
        <v>42613</v>
      </c>
      <c r="S10" s="708" t="s">
        <v>229</v>
      </c>
      <c r="T10" s="708"/>
      <c r="U10" s="233"/>
      <c r="V10" s="17"/>
      <c r="X10" s="779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2" t="s">
        <v>153</v>
      </c>
      <c r="B11" s="612" t="s">
        <v>231</v>
      </c>
      <c r="C11" s="612">
        <v>5366</v>
      </c>
      <c r="D11" s="612" t="s">
        <v>232</v>
      </c>
      <c r="E11" s="612" t="s">
        <v>233</v>
      </c>
      <c r="F11" s="612" t="s">
        <v>224</v>
      </c>
      <c r="G11" s="612" t="s">
        <v>234</v>
      </c>
      <c r="H11" s="708" t="s">
        <v>235</v>
      </c>
      <c r="I11" s="1734">
        <v>44834</v>
      </c>
      <c r="J11" s="612">
        <v>8.1942000000000001E-2</v>
      </c>
      <c r="K11" s="612" t="s">
        <v>136</v>
      </c>
      <c r="L11" s="612">
        <v>145</v>
      </c>
      <c r="M11" s="612"/>
      <c r="N11" s="612"/>
      <c r="O11" s="612">
        <v>2024</v>
      </c>
      <c r="P11" s="1460">
        <v>0</v>
      </c>
      <c r="Q11" s="612"/>
      <c r="R11" s="708">
        <v>42613</v>
      </c>
      <c r="S11" s="708" t="s">
        <v>229</v>
      </c>
      <c r="T11" s="708"/>
      <c r="U11" s="233"/>
      <c r="V11" s="17"/>
      <c r="X11" s="779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2" t="s">
        <v>236</v>
      </c>
      <c r="B12" s="612" t="s">
        <v>237</v>
      </c>
      <c r="C12" s="612">
        <v>5386</v>
      </c>
      <c r="D12" s="612" t="s">
        <v>238</v>
      </c>
      <c r="E12" s="612" t="s">
        <v>239</v>
      </c>
      <c r="F12" s="612" t="s">
        <v>224</v>
      </c>
      <c r="G12" s="612" t="s">
        <v>240</v>
      </c>
      <c r="H12" s="708" t="s">
        <v>235</v>
      </c>
      <c r="I12" s="1734">
        <v>44895</v>
      </c>
      <c r="J12" s="612">
        <v>8.1942000000000001E-2</v>
      </c>
      <c r="K12" s="612" t="s">
        <v>146</v>
      </c>
      <c r="L12" s="612">
        <v>135</v>
      </c>
      <c r="M12" s="612"/>
      <c r="N12" s="612"/>
      <c r="O12" s="612">
        <v>2024</v>
      </c>
      <c r="P12" s="1460">
        <v>0</v>
      </c>
      <c r="Q12" s="612"/>
      <c r="R12" s="708">
        <v>42673</v>
      </c>
      <c r="S12" s="708" t="s">
        <v>229</v>
      </c>
      <c r="T12" s="708"/>
      <c r="U12" s="233"/>
      <c r="V12" s="17"/>
      <c r="X12" s="779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2" t="s">
        <v>241</v>
      </c>
      <c r="B13" s="612" t="s">
        <v>242</v>
      </c>
      <c r="C13" s="612">
        <v>5378</v>
      </c>
      <c r="D13" s="612" t="s">
        <v>243</v>
      </c>
      <c r="E13" s="612" t="s">
        <v>244</v>
      </c>
      <c r="F13" s="612" t="s">
        <v>224</v>
      </c>
      <c r="G13" s="612" t="s">
        <v>245</v>
      </c>
      <c r="H13" s="708" t="s">
        <v>235</v>
      </c>
      <c r="I13" s="1734">
        <v>44680</v>
      </c>
      <c r="J13" s="612">
        <v>8.1942000000000001E-2</v>
      </c>
      <c r="K13" s="612" t="s">
        <v>166</v>
      </c>
      <c r="L13" s="612">
        <v>166</v>
      </c>
      <c r="M13" s="612" t="s">
        <v>136</v>
      </c>
      <c r="N13" s="612">
        <v>145</v>
      </c>
      <c r="O13" s="612">
        <v>2024</v>
      </c>
      <c r="P13" s="1460">
        <v>0</v>
      </c>
      <c r="Q13" s="612"/>
      <c r="R13" s="708">
        <v>42410</v>
      </c>
      <c r="S13" s="708" t="s">
        <v>229</v>
      </c>
      <c r="T13" s="708"/>
      <c r="U13" s="233"/>
      <c r="V13" s="17"/>
      <c r="X13" s="779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2" t="s">
        <v>246</v>
      </c>
      <c r="B14" s="612" t="s">
        <v>247</v>
      </c>
      <c r="C14" s="612">
        <v>5382</v>
      </c>
      <c r="D14" s="612" t="s">
        <v>248</v>
      </c>
      <c r="E14" s="612" t="s">
        <v>249</v>
      </c>
      <c r="F14" s="612" t="s">
        <v>224</v>
      </c>
      <c r="G14" s="612" t="s">
        <v>251</v>
      </c>
      <c r="H14" s="708" t="s">
        <v>235</v>
      </c>
      <c r="I14" s="1734">
        <v>44772</v>
      </c>
      <c r="J14" s="612">
        <v>8.1942000000000001E-2</v>
      </c>
      <c r="K14" s="612" t="s">
        <v>250</v>
      </c>
      <c r="L14" s="612">
        <v>148</v>
      </c>
      <c r="M14" s="612"/>
      <c r="N14" s="612"/>
      <c r="O14" s="612">
        <v>2024</v>
      </c>
      <c r="P14" s="1460">
        <v>0</v>
      </c>
      <c r="Q14" s="612"/>
      <c r="R14" s="708">
        <v>42562</v>
      </c>
      <c r="S14" s="708" t="s">
        <v>229</v>
      </c>
      <c r="T14" s="708"/>
      <c r="U14" s="233"/>
      <c r="V14" s="17"/>
      <c r="X14" s="779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2" t="s">
        <v>253</v>
      </c>
      <c r="B15" s="612" t="s">
        <v>254</v>
      </c>
      <c r="C15" s="612">
        <v>6610</v>
      </c>
      <c r="D15" s="612" t="s">
        <v>255</v>
      </c>
      <c r="E15" s="612" t="s">
        <v>256</v>
      </c>
      <c r="F15" s="612" t="s">
        <v>224</v>
      </c>
      <c r="G15" s="612" t="s">
        <v>257</v>
      </c>
      <c r="H15" s="708" t="s">
        <v>227</v>
      </c>
      <c r="I15" s="1734">
        <v>44895</v>
      </c>
      <c r="J15" s="612">
        <v>8.1942000000000001E-2</v>
      </c>
      <c r="K15" s="612" t="s">
        <v>225</v>
      </c>
      <c r="L15" s="612">
        <v>104</v>
      </c>
      <c r="M15" s="612"/>
      <c r="N15" s="612"/>
      <c r="O15" s="612">
        <v>2024</v>
      </c>
      <c r="P15" s="1460">
        <v>0</v>
      </c>
      <c r="Q15" s="612"/>
      <c r="R15" s="708">
        <v>42673</v>
      </c>
      <c r="S15" s="708" t="s">
        <v>229</v>
      </c>
      <c r="T15" s="708"/>
      <c r="U15" s="233"/>
      <c r="V15" s="17"/>
      <c r="X15" s="779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2" t="s">
        <v>259</v>
      </c>
      <c r="B16" s="612" t="s">
        <v>260</v>
      </c>
      <c r="C16" s="612">
        <v>6609</v>
      </c>
      <c r="D16" s="612" t="s">
        <v>261</v>
      </c>
      <c r="E16" s="612" t="s">
        <v>262</v>
      </c>
      <c r="F16" s="612" t="s">
        <v>224</v>
      </c>
      <c r="G16" s="612" t="s">
        <v>263</v>
      </c>
      <c r="H16" s="708" t="s">
        <v>264</v>
      </c>
      <c r="I16" s="1734">
        <v>44772</v>
      </c>
      <c r="J16" s="612">
        <v>8.1942000000000001E-2</v>
      </c>
      <c r="K16" s="612" t="s">
        <v>111</v>
      </c>
      <c r="L16" s="612">
        <v>165</v>
      </c>
      <c r="M16" s="612"/>
      <c r="N16" s="612"/>
      <c r="O16" s="612">
        <v>2024</v>
      </c>
      <c r="P16" s="1460">
        <v>0</v>
      </c>
      <c r="Q16" s="612"/>
      <c r="R16" s="708">
        <v>42507</v>
      </c>
      <c r="S16" s="708" t="s">
        <v>229</v>
      </c>
      <c r="T16" s="708"/>
      <c r="U16" s="233"/>
      <c r="V16" s="17"/>
      <c r="X16" s="779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2" t="s">
        <v>266</v>
      </c>
      <c r="B17" s="612" t="s">
        <v>267</v>
      </c>
      <c r="C17" s="612">
        <v>5384</v>
      </c>
      <c r="D17" s="612" t="s">
        <v>268</v>
      </c>
      <c r="E17" s="612" t="s">
        <v>269</v>
      </c>
      <c r="F17" s="612" t="s">
        <v>224</v>
      </c>
      <c r="G17" s="612" t="s">
        <v>270</v>
      </c>
      <c r="H17" s="708" t="s">
        <v>235</v>
      </c>
      <c r="I17" s="1734">
        <v>44710</v>
      </c>
      <c r="J17" s="612">
        <v>8.1942000000000001E-2</v>
      </c>
      <c r="K17" s="612" t="s">
        <v>125</v>
      </c>
      <c r="L17" s="612">
        <v>136</v>
      </c>
      <c r="M17" s="612"/>
      <c r="N17" s="612"/>
      <c r="O17" s="612">
        <v>2024</v>
      </c>
      <c r="P17" s="1460">
        <v>0</v>
      </c>
      <c r="Q17" s="612"/>
      <c r="R17" s="708">
        <v>42475</v>
      </c>
      <c r="S17" s="708" t="s">
        <v>229</v>
      </c>
      <c r="T17" s="708"/>
      <c r="U17" s="233"/>
      <c r="V17" s="17"/>
      <c r="X17" s="779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2" t="s">
        <v>271</v>
      </c>
      <c r="B18" s="612" t="s">
        <v>272</v>
      </c>
      <c r="C18" s="612">
        <v>5385</v>
      </c>
      <c r="D18" s="612" t="s">
        <v>273</v>
      </c>
      <c r="E18" s="612" t="s">
        <v>274</v>
      </c>
      <c r="F18" s="612" t="s">
        <v>224</v>
      </c>
      <c r="G18" s="612" t="s">
        <v>275</v>
      </c>
      <c r="H18" s="708" t="s">
        <v>264</v>
      </c>
      <c r="I18" s="1734">
        <v>44710</v>
      </c>
      <c r="J18" s="612">
        <v>8.1942000000000001E-2</v>
      </c>
      <c r="K18" s="612" t="s">
        <v>125</v>
      </c>
      <c r="L18" s="612">
        <v>136</v>
      </c>
      <c r="M18" s="612" t="s">
        <v>111</v>
      </c>
      <c r="N18" s="612">
        <v>165</v>
      </c>
      <c r="O18" s="612">
        <v>2024</v>
      </c>
      <c r="P18" s="1460">
        <v>0</v>
      </c>
      <c r="Q18" s="612"/>
      <c r="R18" s="708">
        <v>42475</v>
      </c>
      <c r="S18" s="708" t="s">
        <v>229</v>
      </c>
      <c r="T18" s="708"/>
      <c r="U18" s="233"/>
      <c r="V18" s="17"/>
      <c r="X18" s="779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2" t="s">
        <v>277</v>
      </c>
      <c r="B19" s="612" t="s">
        <v>278</v>
      </c>
      <c r="C19" s="612">
        <v>5379</v>
      </c>
      <c r="D19" s="612" t="s">
        <v>279</v>
      </c>
      <c r="E19" s="612" t="s">
        <v>280</v>
      </c>
      <c r="F19" s="612" t="s">
        <v>224</v>
      </c>
      <c r="G19" s="612" t="s">
        <v>281</v>
      </c>
      <c r="H19" s="708" t="s">
        <v>235</v>
      </c>
      <c r="I19" s="1734">
        <v>44895</v>
      </c>
      <c r="J19" s="612">
        <v>8.1942000000000001E-2</v>
      </c>
      <c r="K19" s="612" t="s">
        <v>146</v>
      </c>
      <c r="L19" s="612">
        <v>135</v>
      </c>
      <c r="M19" s="612" t="s">
        <v>136</v>
      </c>
      <c r="N19" s="612">
        <v>145</v>
      </c>
      <c r="O19" s="612">
        <v>2024</v>
      </c>
      <c r="P19" s="1460">
        <v>0</v>
      </c>
      <c r="Q19" s="612"/>
      <c r="R19" s="708">
        <v>42673</v>
      </c>
      <c r="S19" s="708" t="s">
        <v>229</v>
      </c>
      <c r="T19" s="708"/>
      <c r="U19" s="233"/>
      <c r="V19" s="17"/>
      <c r="X19" s="779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2" t="s">
        <v>252</v>
      </c>
      <c r="B20" s="612" t="s">
        <v>282</v>
      </c>
      <c r="C20" s="612">
        <v>5372</v>
      </c>
      <c r="D20" s="612" t="s">
        <v>283</v>
      </c>
      <c r="E20" s="612" t="s">
        <v>284</v>
      </c>
      <c r="F20" s="612" t="s">
        <v>285</v>
      </c>
      <c r="G20" s="612" t="s">
        <v>286</v>
      </c>
      <c r="H20" s="708" t="s">
        <v>287</v>
      </c>
      <c r="I20" s="1734">
        <v>44834</v>
      </c>
      <c r="J20" s="612">
        <v>8.1942000000000001E-2</v>
      </c>
      <c r="K20" s="612" t="s">
        <v>155</v>
      </c>
      <c r="L20" s="612">
        <v>111</v>
      </c>
      <c r="M20" s="612"/>
      <c r="N20" s="612"/>
      <c r="O20" s="612">
        <v>2024</v>
      </c>
      <c r="P20" s="1460">
        <v>0</v>
      </c>
      <c r="Q20" s="612"/>
      <c r="R20" s="708">
        <v>42641</v>
      </c>
      <c r="S20" s="708" t="s">
        <v>229</v>
      </c>
      <c r="T20" s="708"/>
      <c r="U20" s="233"/>
      <c r="V20" s="17"/>
      <c r="X20" s="779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2" t="s">
        <v>9</v>
      </c>
      <c r="B21" s="612" t="s">
        <v>288</v>
      </c>
      <c r="C21" s="612">
        <v>5367</v>
      </c>
      <c r="D21" s="612" t="s">
        <v>289</v>
      </c>
      <c r="E21" s="612" t="s">
        <v>290</v>
      </c>
      <c r="F21" s="612" t="s">
        <v>285</v>
      </c>
      <c r="G21" s="612" t="s">
        <v>292</v>
      </c>
      <c r="H21" s="708" t="s">
        <v>293</v>
      </c>
      <c r="I21" s="1734">
        <v>44917</v>
      </c>
      <c r="J21" s="612">
        <v>8.1942000000000001E-2</v>
      </c>
      <c r="K21" s="612" t="s">
        <v>155</v>
      </c>
      <c r="L21" s="612">
        <v>111</v>
      </c>
      <c r="M21" s="612" t="s">
        <v>291</v>
      </c>
      <c r="N21" s="612">
        <v>110</v>
      </c>
      <c r="O21" s="612">
        <v>2025</v>
      </c>
      <c r="P21" s="1460">
        <v>0</v>
      </c>
      <c r="Q21" s="612"/>
      <c r="R21" s="708">
        <v>42641</v>
      </c>
      <c r="S21" s="708" t="s">
        <v>229</v>
      </c>
      <c r="T21" s="708"/>
      <c r="U21" s="233"/>
      <c r="V21" s="17"/>
      <c r="X21" s="779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2" t="s">
        <v>276</v>
      </c>
      <c r="B22" s="612" t="s">
        <v>295</v>
      </c>
      <c r="C22" s="612">
        <v>6897</v>
      </c>
      <c r="D22" s="612" t="s">
        <v>296</v>
      </c>
      <c r="E22" s="612" t="s">
        <v>297</v>
      </c>
      <c r="F22" s="612" t="s">
        <v>285</v>
      </c>
      <c r="G22" s="612" t="s">
        <v>298</v>
      </c>
      <c r="H22" s="708" t="s">
        <v>287</v>
      </c>
      <c r="I22" s="1734">
        <v>44834</v>
      </c>
      <c r="J22" s="612">
        <v>8.1942000000000001E-2</v>
      </c>
      <c r="K22" s="612" t="s">
        <v>155</v>
      </c>
      <c r="L22" s="612">
        <v>111</v>
      </c>
      <c r="M22" s="612"/>
      <c r="N22" s="612"/>
      <c r="O22" s="612">
        <v>2024</v>
      </c>
      <c r="P22" s="1460">
        <v>0</v>
      </c>
      <c r="Q22" s="612"/>
      <c r="R22" s="708">
        <v>42641</v>
      </c>
      <c r="S22" s="708" t="s">
        <v>229</v>
      </c>
      <c r="T22" s="708"/>
      <c r="U22" s="233"/>
      <c r="V22" s="17"/>
      <c r="X22" s="779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2" t="s">
        <v>150</v>
      </c>
      <c r="B23" s="612" t="s">
        <v>300</v>
      </c>
      <c r="C23" s="612">
        <v>5351</v>
      </c>
      <c r="D23" s="612" t="s">
        <v>301</v>
      </c>
      <c r="E23" s="612" t="s">
        <v>302</v>
      </c>
      <c r="F23" s="612" t="s">
        <v>285</v>
      </c>
      <c r="G23" s="612" t="s">
        <v>303</v>
      </c>
      <c r="H23" s="708" t="s">
        <v>287</v>
      </c>
      <c r="I23" s="1734">
        <v>44895</v>
      </c>
      <c r="J23" s="612">
        <v>8.1942000000000001E-2</v>
      </c>
      <c r="K23" s="612" t="s">
        <v>299</v>
      </c>
      <c r="L23" s="612">
        <v>220</v>
      </c>
      <c r="M23" s="612"/>
      <c r="N23" s="612"/>
      <c r="O23" s="612">
        <v>2024</v>
      </c>
      <c r="P23" s="1460">
        <v>0</v>
      </c>
      <c r="Q23" s="612"/>
      <c r="R23" s="708">
        <v>42641</v>
      </c>
      <c r="S23" s="708" t="s">
        <v>229</v>
      </c>
      <c r="T23" s="708"/>
      <c r="U23" s="233"/>
      <c r="V23" s="17"/>
      <c r="X23" s="779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2" t="s">
        <v>299</v>
      </c>
      <c r="B24" s="612" t="s">
        <v>305</v>
      </c>
      <c r="C24" s="612">
        <v>6898</v>
      </c>
      <c r="D24" s="612" t="s">
        <v>306</v>
      </c>
      <c r="E24" s="612" t="s">
        <v>307</v>
      </c>
      <c r="F24" s="612" t="s">
        <v>285</v>
      </c>
      <c r="G24" s="612" t="s">
        <v>308</v>
      </c>
      <c r="H24" s="708" t="s">
        <v>287</v>
      </c>
      <c r="I24" s="1734">
        <v>44834</v>
      </c>
      <c r="J24" s="612">
        <v>8.1942000000000001E-2</v>
      </c>
      <c r="K24" s="612" t="s">
        <v>155</v>
      </c>
      <c r="L24" s="612">
        <v>111</v>
      </c>
      <c r="M24" s="612"/>
      <c r="N24" s="612"/>
      <c r="O24" s="612">
        <v>2024</v>
      </c>
      <c r="P24" s="1460">
        <v>0</v>
      </c>
      <c r="Q24" s="612"/>
      <c r="R24" s="708">
        <v>42641</v>
      </c>
      <c r="S24" s="708" t="s">
        <v>229</v>
      </c>
      <c r="T24" s="708"/>
      <c r="U24" s="233"/>
      <c r="V24" s="17"/>
      <c r="X24" s="779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2" t="s">
        <v>310</v>
      </c>
      <c r="B25" s="612" t="s">
        <v>311</v>
      </c>
      <c r="C25" s="612">
        <v>5352</v>
      </c>
      <c r="D25" s="612" t="s">
        <v>312</v>
      </c>
      <c r="E25" s="612" t="s">
        <v>313</v>
      </c>
      <c r="F25" s="612" t="s">
        <v>285</v>
      </c>
      <c r="G25" s="612" t="s">
        <v>314</v>
      </c>
      <c r="H25" s="708" t="s">
        <v>315</v>
      </c>
      <c r="I25" s="1734">
        <v>44834</v>
      </c>
      <c r="J25" s="612">
        <v>8.1942000000000001E-2</v>
      </c>
      <c r="K25" s="612" t="s">
        <v>155</v>
      </c>
      <c r="L25" s="612">
        <v>111</v>
      </c>
      <c r="M25" s="612"/>
      <c r="N25" s="612"/>
      <c r="O25" s="612">
        <v>2024</v>
      </c>
      <c r="P25" s="1460">
        <v>0</v>
      </c>
      <c r="Q25" s="612"/>
      <c r="R25" s="708">
        <v>42641</v>
      </c>
      <c r="S25" s="708" t="s">
        <v>229</v>
      </c>
      <c r="T25" s="708"/>
      <c r="U25" s="233"/>
      <c r="V25" s="17"/>
      <c r="X25" s="779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2" t="s">
        <v>151</v>
      </c>
      <c r="B26" s="612" t="s">
        <v>316</v>
      </c>
      <c r="C26" s="612">
        <v>5353</v>
      </c>
      <c r="D26" s="612" t="s">
        <v>317</v>
      </c>
      <c r="E26" s="612" t="s">
        <v>318</v>
      </c>
      <c r="F26" s="612" t="s">
        <v>285</v>
      </c>
      <c r="G26" s="612" t="s">
        <v>319</v>
      </c>
      <c r="H26" s="708" t="s">
        <v>320</v>
      </c>
      <c r="I26" s="1734">
        <v>44834</v>
      </c>
      <c r="J26" s="612">
        <v>8.1942000000000001E-2</v>
      </c>
      <c r="K26" s="612" t="s">
        <v>155</v>
      </c>
      <c r="L26" s="612">
        <v>111</v>
      </c>
      <c r="M26" s="612"/>
      <c r="N26" s="612"/>
      <c r="O26" s="612">
        <v>2024</v>
      </c>
      <c r="P26" s="1460">
        <v>0</v>
      </c>
      <c r="Q26" s="612"/>
      <c r="R26" s="708">
        <v>42641</v>
      </c>
      <c r="S26" s="708" t="s">
        <v>229</v>
      </c>
      <c r="T26" s="708"/>
      <c r="U26" s="233"/>
      <c r="V26" s="17"/>
      <c r="X26" s="779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2" t="s">
        <v>321</v>
      </c>
      <c r="B27" s="612" t="s">
        <v>322</v>
      </c>
      <c r="C27" s="612">
        <v>5355</v>
      </c>
      <c r="D27" s="612" t="s">
        <v>323</v>
      </c>
      <c r="E27" s="612" t="s">
        <v>324</v>
      </c>
      <c r="F27" s="612" t="s">
        <v>285</v>
      </c>
      <c r="G27" s="612" t="s">
        <v>325</v>
      </c>
      <c r="H27" s="708" t="s">
        <v>326</v>
      </c>
      <c r="I27" s="1734">
        <v>44834</v>
      </c>
      <c r="J27" s="612">
        <v>8.1942000000000001E-2</v>
      </c>
      <c r="K27" s="612" t="s">
        <v>155</v>
      </c>
      <c r="L27" s="612">
        <v>111</v>
      </c>
      <c r="M27" s="612"/>
      <c r="N27" s="612"/>
      <c r="O27" s="612">
        <v>2025</v>
      </c>
      <c r="P27" s="1460">
        <v>0</v>
      </c>
      <c r="Q27" s="612"/>
      <c r="R27" s="708">
        <v>42641</v>
      </c>
      <c r="S27" s="708" t="s">
        <v>229</v>
      </c>
      <c r="T27" s="708"/>
      <c r="U27" s="233"/>
      <c r="V27" s="17"/>
      <c r="X27" s="779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2" t="s">
        <v>328</v>
      </c>
      <c r="B28" s="612" t="s">
        <v>329</v>
      </c>
      <c r="C28" s="612">
        <v>5363</v>
      </c>
      <c r="D28" s="612" t="s">
        <v>330</v>
      </c>
      <c r="E28" s="612" t="s">
        <v>331</v>
      </c>
      <c r="F28" s="612" t="s">
        <v>285</v>
      </c>
      <c r="G28" s="612" t="s">
        <v>332</v>
      </c>
      <c r="H28" s="708" t="s">
        <v>287</v>
      </c>
      <c r="I28" s="1734">
        <v>44834</v>
      </c>
      <c r="J28" s="612">
        <v>8.1942000000000001E-2</v>
      </c>
      <c r="K28" s="612" t="s">
        <v>155</v>
      </c>
      <c r="L28" s="612">
        <v>111</v>
      </c>
      <c r="M28" s="612"/>
      <c r="N28" s="612"/>
      <c r="O28" s="612">
        <v>2024</v>
      </c>
      <c r="P28" s="1460">
        <v>0</v>
      </c>
      <c r="Q28" s="612"/>
      <c r="R28" s="708">
        <v>42641</v>
      </c>
      <c r="S28" s="708" t="s">
        <v>229</v>
      </c>
      <c r="T28" s="708"/>
      <c r="U28" s="233"/>
      <c r="V28" s="17"/>
      <c r="X28" s="779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2" t="s">
        <v>333</v>
      </c>
      <c r="B29" s="612" t="s">
        <v>334</v>
      </c>
      <c r="C29" s="612">
        <v>5364</v>
      </c>
      <c r="D29" s="612" t="s">
        <v>335</v>
      </c>
      <c r="E29" s="612" t="s">
        <v>336</v>
      </c>
      <c r="F29" s="612" t="s">
        <v>285</v>
      </c>
      <c r="G29" s="612" t="s">
        <v>337</v>
      </c>
      <c r="H29" s="708" t="s">
        <v>338</v>
      </c>
      <c r="I29" s="1734">
        <v>44834</v>
      </c>
      <c r="J29" s="612">
        <v>8.1942000000000001E-2</v>
      </c>
      <c r="K29" s="612" t="s">
        <v>155</v>
      </c>
      <c r="L29" s="612">
        <v>111</v>
      </c>
      <c r="M29" s="612"/>
      <c r="N29" s="612"/>
      <c r="O29" s="612">
        <v>2022</v>
      </c>
      <c r="P29" s="1460">
        <v>0</v>
      </c>
      <c r="Q29" s="612"/>
      <c r="R29" s="708">
        <v>42641</v>
      </c>
      <c r="S29" s="708" t="s">
        <v>229</v>
      </c>
      <c r="T29" s="708"/>
      <c r="U29" s="233"/>
      <c r="V29" s="17"/>
      <c r="X29" s="779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2" t="s">
        <v>339</v>
      </c>
      <c r="B30" s="612" t="s">
        <v>340</v>
      </c>
      <c r="C30" s="612">
        <v>5365</v>
      </c>
      <c r="D30" s="612" t="s">
        <v>341</v>
      </c>
      <c r="E30" s="612" t="s">
        <v>342</v>
      </c>
      <c r="F30" s="612" t="s">
        <v>285</v>
      </c>
      <c r="G30" s="612" t="s">
        <v>343</v>
      </c>
      <c r="H30" s="708" t="s">
        <v>287</v>
      </c>
      <c r="I30" s="1734">
        <v>44834</v>
      </c>
      <c r="J30" s="612">
        <v>8.1942000000000001E-2</v>
      </c>
      <c r="K30" s="612" t="s">
        <v>155</v>
      </c>
      <c r="L30" s="612">
        <v>111</v>
      </c>
      <c r="M30" s="612"/>
      <c r="N30" s="612"/>
      <c r="O30" s="612">
        <v>2024</v>
      </c>
      <c r="P30" s="1460">
        <v>0</v>
      </c>
      <c r="Q30" s="612"/>
      <c r="R30" s="708">
        <v>42641</v>
      </c>
      <c r="S30" s="708" t="s">
        <v>229</v>
      </c>
      <c r="T30" s="708"/>
      <c r="U30" s="233"/>
      <c r="V30" s="17"/>
      <c r="X30" s="779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2" t="s">
        <v>344</v>
      </c>
      <c r="B31" s="612" t="s">
        <v>345</v>
      </c>
      <c r="C31" s="612">
        <v>5368</v>
      </c>
      <c r="D31" s="612" t="s">
        <v>346</v>
      </c>
      <c r="E31" s="612" t="s">
        <v>347</v>
      </c>
      <c r="F31" s="612" t="s">
        <v>285</v>
      </c>
      <c r="G31" s="612" t="s">
        <v>348</v>
      </c>
      <c r="H31" s="708" t="s">
        <v>287</v>
      </c>
      <c r="I31" s="1734">
        <v>44834</v>
      </c>
      <c r="J31" s="612">
        <v>8.1942000000000001E-2</v>
      </c>
      <c r="K31" s="612" t="s">
        <v>155</v>
      </c>
      <c r="L31" s="612">
        <v>111</v>
      </c>
      <c r="M31" s="612"/>
      <c r="N31" s="612"/>
      <c r="O31" s="612">
        <v>2024</v>
      </c>
      <c r="P31" s="1460">
        <v>0</v>
      </c>
      <c r="Q31" s="612"/>
      <c r="R31" s="708">
        <v>42641</v>
      </c>
      <c r="S31" s="708" t="s">
        <v>229</v>
      </c>
      <c r="T31" s="708"/>
      <c r="U31" s="233"/>
      <c r="V31" s="17"/>
      <c r="X31" s="779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2" t="s">
        <v>349</v>
      </c>
      <c r="B32" s="612" t="s">
        <v>350</v>
      </c>
      <c r="C32" s="612">
        <v>5369</v>
      </c>
      <c r="D32" s="612" t="s">
        <v>351</v>
      </c>
      <c r="E32" s="612" t="s">
        <v>352</v>
      </c>
      <c r="F32" s="612" t="s">
        <v>285</v>
      </c>
      <c r="G32" s="612" t="s">
        <v>353</v>
      </c>
      <c r="H32" s="708" t="s">
        <v>326</v>
      </c>
      <c r="I32" s="1734">
        <v>44834</v>
      </c>
      <c r="J32" s="612">
        <v>8.1942000000000001E-2</v>
      </c>
      <c r="K32" s="612" t="s">
        <v>155</v>
      </c>
      <c r="L32" s="612">
        <v>111</v>
      </c>
      <c r="M32" s="612"/>
      <c r="N32" s="612"/>
      <c r="O32" s="612">
        <v>2025</v>
      </c>
      <c r="P32" s="1460">
        <v>0</v>
      </c>
      <c r="Q32" s="612"/>
      <c r="R32" s="708">
        <v>42641</v>
      </c>
      <c r="S32" s="708" t="s">
        <v>229</v>
      </c>
      <c r="T32" s="708"/>
      <c r="U32" s="233"/>
      <c r="V32" s="17"/>
      <c r="X32" s="779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2" t="s">
        <v>154</v>
      </c>
      <c r="B33" s="612" t="s">
        <v>354</v>
      </c>
      <c r="C33" s="612">
        <v>5370</v>
      </c>
      <c r="D33" s="612" t="s">
        <v>355</v>
      </c>
      <c r="E33" s="612" t="s">
        <v>356</v>
      </c>
      <c r="F33" s="612" t="s">
        <v>285</v>
      </c>
      <c r="G33" s="612" t="s">
        <v>357</v>
      </c>
      <c r="H33" s="708" t="s">
        <v>287</v>
      </c>
      <c r="I33" s="1734">
        <v>44834</v>
      </c>
      <c r="J33" s="612">
        <v>8.1942000000000001E-2</v>
      </c>
      <c r="K33" s="612" t="s">
        <v>155</v>
      </c>
      <c r="L33" s="612">
        <v>111</v>
      </c>
      <c r="M33" s="612"/>
      <c r="N33" s="612"/>
      <c r="O33" s="612">
        <v>2024</v>
      </c>
      <c r="P33" s="1460">
        <v>0</v>
      </c>
      <c r="Q33" s="612"/>
      <c r="R33" s="708">
        <v>42641</v>
      </c>
      <c r="S33" s="708" t="s">
        <v>229</v>
      </c>
      <c r="T33" s="708"/>
      <c r="U33" s="233"/>
      <c r="V33" s="17"/>
      <c r="X33" s="779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2" t="s">
        <v>358</v>
      </c>
      <c r="B34" s="612" t="s">
        <v>359</v>
      </c>
      <c r="C34" s="612">
        <v>5371</v>
      </c>
      <c r="D34" s="612" t="s">
        <v>360</v>
      </c>
      <c r="E34" s="612" t="s">
        <v>361</v>
      </c>
      <c r="F34" s="612" t="s">
        <v>285</v>
      </c>
      <c r="G34" s="612" t="s">
        <v>363</v>
      </c>
      <c r="H34" s="708" t="s">
        <v>364</v>
      </c>
      <c r="I34" s="1734">
        <v>44834</v>
      </c>
      <c r="J34" s="612">
        <v>8.1942000000000001E-2</v>
      </c>
      <c r="K34" s="612" t="s">
        <v>155</v>
      </c>
      <c r="L34" s="612">
        <v>111</v>
      </c>
      <c r="M34" s="612" t="s">
        <v>362</v>
      </c>
      <c r="N34" s="612">
        <v>144</v>
      </c>
      <c r="O34" s="612">
        <v>2022</v>
      </c>
      <c r="P34" s="1460">
        <v>0</v>
      </c>
      <c r="Q34" s="612"/>
      <c r="R34" s="708">
        <v>42641</v>
      </c>
      <c r="S34" s="708" t="s">
        <v>229</v>
      </c>
      <c r="T34" s="708"/>
      <c r="U34" s="233"/>
      <c r="V34" s="17"/>
      <c r="X34" s="779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2" t="s">
        <v>365</v>
      </c>
      <c r="B35" s="612" t="s">
        <v>366</v>
      </c>
      <c r="C35" s="612">
        <v>5373</v>
      </c>
      <c r="D35" s="612" t="s">
        <v>367</v>
      </c>
      <c r="E35" s="612" t="s">
        <v>368</v>
      </c>
      <c r="F35" s="612" t="s">
        <v>285</v>
      </c>
      <c r="G35" s="612" t="s">
        <v>369</v>
      </c>
      <c r="H35" s="708" t="s">
        <v>320</v>
      </c>
      <c r="I35" s="1734">
        <v>44834</v>
      </c>
      <c r="J35" s="612">
        <v>8.1942000000000001E-2</v>
      </c>
      <c r="K35" s="612" t="s">
        <v>155</v>
      </c>
      <c r="L35" s="612">
        <v>111</v>
      </c>
      <c r="M35" s="612"/>
      <c r="N35" s="612"/>
      <c r="O35" s="612">
        <v>2024</v>
      </c>
      <c r="P35" s="1460">
        <v>0</v>
      </c>
      <c r="Q35" s="612"/>
      <c r="R35" s="708">
        <v>42641</v>
      </c>
      <c r="S35" s="708" t="s">
        <v>229</v>
      </c>
      <c r="T35" s="708"/>
      <c r="U35" s="233"/>
      <c r="V35" s="17"/>
      <c r="X35" s="779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2" t="s">
        <v>370</v>
      </c>
      <c r="B36" s="612" t="s">
        <v>371</v>
      </c>
      <c r="C36" s="612">
        <v>7016</v>
      </c>
      <c r="D36" s="612" t="s">
        <v>372</v>
      </c>
      <c r="E36" s="612" t="s">
        <v>373</v>
      </c>
      <c r="F36" s="612" t="s">
        <v>285</v>
      </c>
      <c r="G36" s="612" t="s">
        <v>374</v>
      </c>
      <c r="H36" s="708" t="s">
        <v>287</v>
      </c>
      <c r="I36" s="1734">
        <v>44834</v>
      </c>
      <c r="J36" s="612">
        <v>8.1942000000000001E-2</v>
      </c>
      <c r="K36" s="612" t="s">
        <v>155</v>
      </c>
      <c r="L36" s="612">
        <v>111</v>
      </c>
      <c r="M36" s="612"/>
      <c r="N36" s="612"/>
      <c r="O36" s="612">
        <v>2024</v>
      </c>
      <c r="P36" s="1460">
        <v>0</v>
      </c>
      <c r="Q36" s="612"/>
      <c r="R36" s="708">
        <v>42641</v>
      </c>
      <c r="S36" s="708" t="s">
        <v>229</v>
      </c>
      <c r="T36" s="708"/>
      <c r="U36" s="233"/>
      <c r="V36" s="17"/>
      <c r="X36" s="779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2" t="s">
        <v>144</v>
      </c>
      <c r="B37" s="612" t="s">
        <v>376</v>
      </c>
      <c r="C37" s="612">
        <v>2763</v>
      </c>
      <c r="D37" s="612" t="s">
        <v>377</v>
      </c>
      <c r="E37" s="612" t="s">
        <v>378</v>
      </c>
      <c r="F37" s="612" t="s">
        <v>379</v>
      </c>
      <c r="G37" s="612" t="s">
        <v>380</v>
      </c>
      <c r="H37" s="708" t="s">
        <v>381</v>
      </c>
      <c r="I37" s="1734">
        <v>44772</v>
      </c>
      <c r="J37" s="612">
        <v>8.1942000000000001E-2</v>
      </c>
      <c r="K37" s="612" t="s">
        <v>167</v>
      </c>
      <c r="L37" s="612">
        <v>167</v>
      </c>
      <c r="M37" s="612"/>
      <c r="N37" s="612"/>
      <c r="O37" s="612">
        <v>2022</v>
      </c>
      <c r="P37" s="1460">
        <v>0</v>
      </c>
      <c r="Q37" s="612"/>
      <c r="R37" s="708">
        <v>42551</v>
      </c>
      <c r="S37" s="708" t="s">
        <v>229</v>
      </c>
      <c r="T37" s="708"/>
      <c r="U37" s="233"/>
      <c r="V37" s="17"/>
      <c r="X37" s="779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2" t="s">
        <v>375</v>
      </c>
      <c r="B38" s="612" t="s">
        <v>382</v>
      </c>
      <c r="C38" s="612">
        <v>2381</v>
      </c>
      <c r="D38" s="612" t="s">
        <v>383</v>
      </c>
      <c r="E38" s="612" t="s">
        <v>384</v>
      </c>
      <c r="F38" s="612" t="s">
        <v>379</v>
      </c>
      <c r="G38" s="612" t="s">
        <v>385</v>
      </c>
      <c r="H38" s="708" t="s">
        <v>386</v>
      </c>
      <c r="I38" s="1734">
        <v>44772</v>
      </c>
      <c r="J38" s="612">
        <v>8.1942000000000001E-2</v>
      </c>
      <c r="K38" s="612" t="s">
        <v>167</v>
      </c>
      <c r="L38" s="612">
        <v>167</v>
      </c>
      <c r="M38" s="612"/>
      <c r="N38" s="612"/>
      <c r="O38" s="612">
        <v>2025</v>
      </c>
      <c r="P38" s="1460">
        <v>69.23</v>
      </c>
      <c r="Q38" s="708">
        <v>42917</v>
      </c>
      <c r="R38" s="708">
        <v>42551</v>
      </c>
      <c r="S38" s="708" t="s">
        <v>229</v>
      </c>
      <c r="T38" s="708"/>
      <c r="U38" s="233"/>
      <c r="V38" s="17"/>
      <c r="X38" s="779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2" t="s">
        <v>387</v>
      </c>
      <c r="B39" s="612" t="s">
        <v>388</v>
      </c>
      <c r="C39" s="612">
        <v>3223</v>
      </c>
      <c r="D39" s="612" t="s">
        <v>389</v>
      </c>
      <c r="E39" s="612" t="s">
        <v>390</v>
      </c>
      <c r="F39" s="612" t="s">
        <v>379</v>
      </c>
      <c r="G39" s="612" t="s">
        <v>391</v>
      </c>
      <c r="H39" s="708" t="s">
        <v>392</v>
      </c>
      <c r="I39" s="1734">
        <v>44772</v>
      </c>
      <c r="J39" s="612">
        <v>8.1942000000000001E-2</v>
      </c>
      <c r="K39" s="612" t="s">
        <v>167</v>
      </c>
      <c r="L39" s="612">
        <v>167</v>
      </c>
      <c r="M39" s="612" t="s">
        <v>291</v>
      </c>
      <c r="N39" s="612">
        <v>110</v>
      </c>
      <c r="O39" s="612">
        <v>2025</v>
      </c>
      <c r="P39" s="1460">
        <v>0</v>
      </c>
      <c r="Q39" s="612"/>
      <c r="R39" s="708">
        <v>42486</v>
      </c>
      <c r="S39" s="708" t="s">
        <v>229</v>
      </c>
      <c r="T39" s="708"/>
      <c r="U39" s="233"/>
      <c r="V39" s="17"/>
      <c r="X39" s="779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2" t="s">
        <v>165</v>
      </c>
      <c r="B40" s="612" t="s">
        <v>393</v>
      </c>
      <c r="C40" s="612">
        <v>7371</v>
      </c>
      <c r="D40" s="612" t="s">
        <v>394</v>
      </c>
      <c r="E40" s="612" t="s">
        <v>395</v>
      </c>
      <c r="F40" s="612" t="s">
        <v>379</v>
      </c>
      <c r="G40" s="612" t="s">
        <v>396</v>
      </c>
      <c r="H40" s="708" t="s">
        <v>397</v>
      </c>
      <c r="I40" s="1734">
        <v>44772</v>
      </c>
      <c r="J40" s="612">
        <v>8.1942000000000001E-2</v>
      </c>
      <c r="K40" s="612" t="s">
        <v>167</v>
      </c>
      <c r="L40" s="612">
        <v>167</v>
      </c>
      <c r="M40" s="612"/>
      <c r="N40" s="612"/>
      <c r="O40" s="612">
        <v>2022</v>
      </c>
      <c r="P40" s="1460">
        <v>0</v>
      </c>
      <c r="Q40" s="612"/>
      <c r="R40" s="708">
        <v>42547</v>
      </c>
      <c r="S40" s="708" t="s">
        <v>229</v>
      </c>
      <c r="T40" s="708"/>
      <c r="U40" s="233"/>
      <c r="V40" s="17"/>
      <c r="X40" s="779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2" t="s">
        <v>398</v>
      </c>
      <c r="B41" s="612" t="s">
        <v>399</v>
      </c>
      <c r="C41" s="612">
        <v>3627</v>
      </c>
      <c r="D41" s="612" t="s">
        <v>400</v>
      </c>
      <c r="E41" s="612" t="s">
        <v>401</v>
      </c>
      <c r="F41" s="612" t="s">
        <v>379</v>
      </c>
      <c r="G41" s="612" t="s">
        <v>402</v>
      </c>
      <c r="H41" s="708" t="s">
        <v>397</v>
      </c>
      <c r="I41" s="1734">
        <v>44772</v>
      </c>
      <c r="J41" s="612">
        <v>8.1942000000000001E-2</v>
      </c>
      <c r="K41" s="612" t="s">
        <v>167</v>
      </c>
      <c r="L41" s="612">
        <v>167</v>
      </c>
      <c r="M41" s="612"/>
      <c r="N41" s="612"/>
      <c r="O41" s="612">
        <v>2025</v>
      </c>
      <c r="P41" s="1460">
        <v>0</v>
      </c>
      <c r="Q41" s="612"/>
      <c r="R41" s="708">
        <v>42551</v>
      </c>
      <c r="S41" s="708" t="s">
        <v>229</v>
      </c>
      <c r="T41" s="708"/>
      <c r="U41" s="233"/>
      <c r="V41" s="17"/>
      <c r="X41" s="779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2" t="s">
        <v>403</v>
      </c>
      <c r="B42" s="612" t="s">
        <v>404</v>
      </c>
      <c r="C42" s="612">
        <v>2351</v>
      </c>
      <c r="D42" s="612" t="s">
        <v>405</v>
      </c>
      <c r="E42" s="612" t="s">
        <v>406</v>
      </c>
      <c r="F42" s="612" t="s">
        <v>379</v>
      </c>
      <c r="G42" s="612" t="s">
        <v>407</v>
      </c>
      <c r="H42" s="708" t="s">
        <v>408</v>
      </c>
      <c r="I42" s="1734">
        <v>44772</v>
      </c>
      <c r="J42" s="612">
        <v>8.1942000000000001E-2</v>
      </c>
      <c r="K42" s="612" t="s">
        <v>167</v>
      </c>
      <c r="L42" s="612">
        <v>167</v>
      </c>
      <c r="M42" s="612"/>
      <c r="N42" s="612"/>
      <c r="O42" s="612">
        <v>2025</v>
      </c>
      <c r="P42" s="1460">
        <v>0</v>
      </c>
      <c r="Q42" s="612"/>
      <c r="R42" s="708">
        <v>42551</v>
      </c>
      <c r="S42" s="708" t="s">
        <v>229</v>
      </c>
      <c r="T42" s="708"/>
      <c r="U42" s="233"/>
      <c r="V42" s="17"/>
      <c r="X42" s="779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2" t="s">
        <v>143</v>
      </c>
      <c r="B43" s="612" t="s">
        <v>410</v>
      </c>
      <c r="C43" s="612">
        <v>598</v>
      </c>
      <c r="D43" s="612" t="s">
        <v>411</v>
      </c>
      <c r="E43" s="612" t="s">
        <v>412</v>
      </c>
      <c r="F43" s="612" t="s">
        <v>379</v>
      </c>
      <c r="G43" s="612" t="s">
        <v>413</v>
      </c>
      <c r="H43" s="708" t="s">
        <v>397</v>
      </c>
      <c r="I43" s="1734">
        <v>44772</v>
      </c>
      <c r="J43" s="612">
        <v>8.1942000000000001E-2</v>
      </c>
      <c r="K43" s="612" t="s">
        <v>167</v>
      </c>
      <c r="L43" s="612">
        <v>167</v>
      </c>
      <c r="M43" s="612"/>
      <c r="N43" s="612"/>
      <c r="O43" s="612">
        <v>2022</v>
      </c>
      <c r="P43" s="1460">
        <v>0</v>
      </c>
      <c r="Q43" s="612"/>
      <c r="R43" s="708">
        <v>42551</v>
      </c>
      <c r="S43" s="708" t="s">
        <v>229</v>
      </c>
      <c r="T43" s="708"/>
      <c r="U43" s="233"/>
      <c r="V43" s="17"/>
      <c r="X43" s="779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2" t="s">
        <v>414</v>
      </c>
      <c r="B44" s="612" t="s">
        <v>415</v>
      </c>
      <c r="C44" s="612">
        <v>2783</v>
      </c>
      <c r="D44" s="612" t="s">
        <v>416</v>
      </c>
      <c r="E44" s="612" t="s">
        <v>417</v>
      </c>
      <c r="F44" s="612" t="s">
        <v>379</v>
      </c>
      <c r="G44" s="612" t="s">
        <v>418</v>
      </c>
      <c r="H44" s="708" t="s">
        <v>397</v>
      </c>
      <c r="I44" s="1734">
        <v>44772</v>
      </c>
      <c r="J44" s="612">
        <v>8.1942000000000001E-2</v>
      </c>
      <c r="K44" s="612" t="s">
        <v>167</v>
      </c>
      <c r="L44" s="612">
        <v>167</v>
      </c>
      <c r="M44" s="612"/>
      <c r="N44" s="612"/>
      <c r="O44" s="612">
        <v>2022</v>
      </c>
      <c r="P44" s="1460">
        <v>0</v>
      </c>
      <c r="Q44" s="612"/>
      <c r="R44" s="708">
        <v>42551</v>
      </c>
      <c r="S44" s="708" t="s">
        <v>229</v>
      </c>
      <c r="T44" s="708"/>
      <c r="U44" s="233"/>
      <c r="V44" s="17"/>
      <c r="X44" s="779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2" t="s">
        <v>294</v>
      </c>
      <c r="B45" s="612" t="s">
        <v>419</v>
      </c>
      <c r="C45" s="612">
        <v>4248</v>
      </c>
      <c r="D45" s="612" t="s">
        <v>420</v>
      </c>
      <c r="E45" s="612" t="s">
        <v>421</v>
      </c>
      <c r="F45" s="612" t="s">
        <v>422</v>
      </c>
      <c r="G45" s="612" t="s">
        <v>424</v>
      </c>
      <c r="H45" s="708" t="s">
        <v>287</v>
      </c>
      <c r="I45" s="1734">
        <v>44772</v>
      </c>
      <c r="J45" s="612">
        <v>8.1942000000000001E-2</v>
      </c>
      <c r="K45" s="612" t="s">
        <v>423</v>
      </c>
      <c r="L45" s="612">
        <v>132</v>
      </c>
      <c r="M45" s="612"/>
      <c r="N45" s="612"/>
      <c r="O45" s="612">
        <v>2024</v>
      </c>
      <c r="P45" s="1460">
        <v>0</v>
      </c>
      <c r="Q45" s="612"/>
      <c r="R45" s="708">
        <v>42551</v>
      </c>
      <c r="S45" s="708" t="s">
        <v>229</v>
      </c>
      <c r="T45" s="708"/>
      <c r="U45" s="233"/>
      <c r="V45" s="17"/>
      <c r="X45" s="779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2" t="s">
        <v>149</v>
      </c>
      <c r="B46" s="612" t="s">
        <v>425</v>
      </c>
      <c r="C46" s="612">
        <v>5274</v>
      </c>
      <c r="D46" s="612" t="s">
        <v>426</v>
      </c>
      <c r="E46" s="612" t="s">
        <v>427</v>
      </c>
      <c r="F46" s="612" t="s">
        <v>428</v>
      </c>
      <c r="G46" s="612" t="s">
        <v>430</v>
      </c>
      <c r="H46" s="708" t="s">
        <v>227</v>
      </c>
      <c r="I46" s="1734">
        <v>44680</v>
      </c>
      <c r="J46" s="612">
        <v>8.1942000000000001E-2</v>
      </c>
      <c r="K46" s="612" t="s">
        <v>135</v>
      </c>
      <c r="L46" s="612">
        <v>103</v>
      </c>
      <c r="M46" s="612"/>
      <c r="N46" s="612"/>
      <c r="O46" s="612">
        <v>2024</v>
      </c>
      <c r="P46" s="1460">
        <v>0</v>
      </c>
      <c r="Q46" s="612"/>
      <c r="R46" s="708">
        <v>42451</v>
      </c>
      <c r="S46" s="708" t="s">
        <v>229</v>
      </c>
      <c r="T46" s="708"/>
      <c r="U46" s="233"/>
      <c r="V46" s="17"/>
      <c r="X46" s="779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2" t="s">
        <v>309</v>
      </c>
      <c r="B47" s="612" t="s">
        <v>432</v>
      </c>
      <c r="C47" s="612">
        <v>5377</v>
      </c>
      <c r="D47" s="612" t="s">
        <v>433</v>
      </c>
      <c r="E47" s="612" t="s">
        <v>434</v>
      </c>
      <c r="F47" s="612" t="s">
        <v>435</v>
      </c>
      <c r="G47" s="612" t="s">
        <v>437</v>
      </c>
      <c r="H47" s="708" t="s">
        <v>438</v>
      </c>
      <c r="I47" s="1734">
        <v>44710</v>
      </c>
      <c r="J47" s="612">
        <v>8.1942000000000001E-2</v>
      </c>
      <c r="K47" s="612" t="s">
        <v>436</v>
      </c>
      <c r="L47" s="612">
        <v>155</v>
      </c>
      <c r="M47" s="612"/>
      <c r="N47" s="612"/>
      <c r="O47" s="612">
        <v>2024</v>
      </c>
      <c r="P47" s="1460">
        <v>0</v>
      </c>
      <c r="Q47" s="612"/>
      <c r="R47" s="708">
        <v>42489</v>
      </c>
      <c r="S47" s="708" t="s">
        <v>229</v>
      </c>
      <c r="T47" s="708"/>
      <c r="U47" s="233"/>
      <c r="V47" s="17"/>
      <c r="X47" s="779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2" t="s">
        <v>304</v>
      </c>
      <c r="B48" s="612" t="s">
        <v>439</v>
      </c>
      <c r="C48" s="612">
        <v>5279</v>
      </c>
      <c r="D48" s="612" t="s">
        <v>440</v>
      </c>
      <c r="E48" s="612" t="s">
        <v>441</v>
      </c>
      <c r="F48" s="612" t="s">
        <v>428</v>
      </c>
      <c r="G48" s="1461" t="s">
        <v>442</v>
      </c>
      <c r="H48" s="708" t="s">
        <v>443</v>
      </c>
      <c r="I48" s="1734">
        <v>44680</v>
      </c>
      <c r="J48" s="612">
        <v>8.1942000000000001E-2</v>
      </c>
      <c r="K48" s="612" t="s">
        <v>135</v>
      </c>
      <c r="L48" s="612">
        <v>103</v>
      </c>
      <c r="M48" s="612"/>
      <c r="N48" s="612"/>
      <c r="O48" s="612">
        <v>2022</v>
      </c>
      <c r="P48" s="708" t="s">
        <v>444</v>
      </c>
      <c r="Q48" s="612"/>
      <c r="R48" s="708"/>
      <c r="S48" s="708" t="s">
        <v>445</v>
      </c>
      <c r="T48" s="708">
        <v>43374</v>
      </c>
      <c r="U48" s="233"/>
      <c r="V48" s="17"/>
      <c r="X48" s="779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2" t="s">
        <v>161</v>
      </c>
      <c r="B49" s="612" t="s">
        <v>447</v>
      </c>
      <c r="C49" s="612">
        <v>6603</v>
      </c>
      <c r="D49" s="612" t="s">
        <v>448</v>
      </c>
      <c r="E49" s="612" t="s">
        <v>449</v>
      </c>
      <c r="F49" s="612" t="s">
        <v>428</v>
      </c>
      <c r="G49" s="1461" t="s">
        <v>450</v>
      </c>
      <c r="H49" s="708" t="s">
        <v>451</v>
      </c>
      <c r="I49" s="1734">
        <v>44680</v>
      </c>
      <c r="J49" s="612">
        <v>8.1942000000000001E-2</v>
      </c>
      <c r="K49" s="612" t="s">
        <v>135</v>
      </c>
      <c r="L49" s="612">
        <v>103</v>
      </c>
      <c r="M49" s="612"/>
      <c r="N49" s="612"/>
      <c r="O49" s="612">
        <v>2022</v>
      </c>
      <c r="P49" s="708" t="s">
        <v>444</v>
      </c>
      <c r="Q49" s="612"/>
      <c r="R49" s="708"/>
      <c r="S49" s="708" t="s">
        <v>445</v>
      </c>
      <c r="T49" s="708">
        <v>43405</v>
      </c>
      <c r="U49" s="233"/>
      <c r="V49" s="17"/>
      <c r="X49" s="779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2" t="s">
        <v>327</v>
      </c>
      <c r="B50" s="612" t="s">
        <v>452</v>
      </c>
      <c r="C50" s="612">
        <v>504</v>
      </c>
      <c r="D50" s="612" t="s">
        <v>453</v>
      </c>
      <c r="E50" s="612" t="s">
        <v>454</v>
      </c>
      <c r="F50" s="612" t="s">
        <v>379</v>
      </c>
      <c r="G50" s="1461" t="s">
        <v>455</v>
      </c>
      <c r="H50" s="708" t="s">
        <v>456</v>
      </c>
      <c r="I50" s="1734">
        <v>44772</v>
      </c>
      <c r="J50" s="612">
        <v>8.1942000000000001E-2</v>
      </c>
      <c r="K50" s="612" t="s">
        <v>167</v>
      </c>
      <c r="L50" s="612">
        <v>167</v>
      </c>
      <c r="M50" s="612"/>
      <c r="N50" s="612"/>
      <c r="O50" s="612">
        <v>2022</v>
      </c>
      <c r="P50" s="708" t="s">
        <v>444</v>
      </c>
      <c r="Q50" s="612"/>
      <c r="R50" s="708"/>
      <c r="S50" s="708" t="s">
        <v>445</v>
      </c>
      <c r="T50" s="708">
        <v>43405</v>
      </c>
      <c r="U50" s="233"/>
      <c r="V50" s="17"/>
      <c r="X50" s="779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2" t="s">
        <v>431</v>
      </c>
      <c r="B51" s="612" t="s">
        <v>458</v>
      </c>
      <c r="C51" s="612">
        <v>527</v>
      </c>
      <c r="D51" s="612" t="s">
        <v>459</v>
      </c>
      <c r="E51" s="612" t="s">
        <v>460</v>
      </c>
      <c r="F51" s="612" t="s">
        <v>379</v>
      </c>
      <c r="G51" s="1461" t="s">
        <v>461</v>
      </c>
      <c r="H51" s="708" t="s">
        <v>462</v>
      </c>
      <c r="I51" s="1734">
        <v>44772</v>
      </c>
      <c r="J51" s="612">
        <v>8.1942000000000001E-2</v>
      </c>
      <c r="K51" s="612" t="s">
        <v>167</v>
      </c>
      <c r="L51" s="612">
        <v>167</v>
      </c>
      <c r="M51" s="612"/>
      <c r="N51" s="612"/>
      <c r="O51" s="612">
        <v>2022</v>
      </c>
      <c r="P51" s="708" t="s">
        <v>444</v>
      </c>
      <c r="Q51" s="612"/>
      <c r="R51" s="708"/>
      <c r="S51" s="708" t="s">
        <v>445</v>
      </c>
      <c r="T51" s="708">
        <v>43405</v>
      </c>
      <c r="U51" s="233"/>
      <c r="V51" s="17"/>
      <c r="X51" s="779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2" t="s">
        <v>230</v>
      </c>
      <c r="B52" s="612" t="s">
        <v>463</v>
      </c>
      <c r="C52" s="612">
        <v>11825</v>
      </c>
      <c r="D52" s="612" t="s">
        <v>464</v>
      </c>
      <c r="E52" s="612" t="s">
        <v>465</v>
      </c>
      <c r="F52" s="612" t="s">
        <v>422</v>
      </c>
      <c r="G52" s="1461" t="s">
        <v>467</v>
      </c>
      <c r="H52" s="708" t="s">
        <v>468</v>
      </c>
      <c r="I52" s="1734">
        <v>44772</v>
      </c>
      <c r="J52" s="612">
        <v>8.1942000000000001E-2</v>
      </c>
      <c r="K52" s="612" t="s">
        <v>466</v>
      </c>
      <c r="L52" s="612">
        <v>132</v>
      </c>
      <c r="M52" s="612"/>
      <c r="N52" s="612"/>
      <c r="O52" s="612">
        <v>2022</v>
      </c>
      <c r="P52" s="708" t="s">
        <v>444</v>
      </c>
      <c r="Q52" s="612"/>
      <c r="R52" s="708"/>
      <c r="S52" s="708" t="s">
        <v>445</v>
      </c>
      <c r="T52" s="708">
        <v>43405</v>
      </c>
      <c r="U52" s="233"/>
      <c r="V52" s="17"/>
      <c r="X52" s="779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2" t="s">
        <v>446</v>
      </c>
      <c r="B53" s="612" t="s">
        <v>469</v>
      </c>
      <c r="C53" s="612">
        <v>5375</v>
      </c>
      <c r="D53" s="612" t="s">
        <v>470</v>
      </c>
      <c r="E53" s="612" t="s">
        <v>471</v>
      </c>
      <c r="F53" s="612" t="s">
        <v>224</v>
      </c>
      <c r="G53" s="1461" t="s">
        <v>474</v>
      </c>
      <c r="H53" s="708" t="s">
        <v>475</v>
      </c>
      <c r="I53" s="1734">
        <v>44834</v>
      </c>
      <c r="J53" s="612">
        <v>8.1942000000000001E-2</v>
      </c>
      <c r="K53" s="612" t="s">
        <v>472</v>
      </c>
      <c r="L53" s="612">
        <v>145</v>
      </c>
      <c r="M53" s="612" t="s">
        <v>473</v>
      </c>
      <c r="N53" s="612">
        <v>136</v>
      </c>
      <c r="O53" s="612">
        <v>2022</v>
      </c>
      <c r="P53" s="708" t="s">
        <v>444</v>
      </c>
      <c r="Q53" s="612"/>
      <c r="R53" s="708"/>
      <c r="S53" s="708" t="s">
        <v>445</v>
      </c>
      <c r="T53" s="708">
        <v>43466</v>
      </c>
      <c r="U53" s="233"/>
      <c r="V53" s="17"/>
      <c r="X53" s="779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2" t="s">
        <v>152</v>
      </c>
      <c r="B54" s="612" t="s">
        <v>476</v>
      </c>
      <c r="C54" s="612">
        <v>5356</v>
      </c>
      <c r="D54" s="612" t="s">
        <v>477</v>
      </c>
      <c r="E54" s="612" t="s">
        <v>478</v>
      </c>
      <c r="F54" s="612" t="s">
        <v>285</v>
      </c>
      <c r="G54" s="1461" t="s">
        <v>480</v>
      </c>
      <c r="H54" s="708" t="s">
        <v>481</v>
      </c>
      <c r="I54" s="1734">
        <v>44834</v>
      </c>
      <c r="J54" s="612">
        <v>8.1942000000000001E-2</v>
      </c>
      <c r="K54" s="612" t="s">
        <v>479</v>
      </c>
      <c r="L54" s="612">
        <v>111</v>
      </c>
      <c r="M54" s="612"/>
      <c r="N54" s="612"/>
      <c r="O54" s="612">
        <v>2022</v>
      </c>
      <c r="P54" s="708" t="s">
        <v>444</v>
      </c>
      <c r="Q54" s="612"/>
      <c r="R54" s="708"/>
      <c r="S54" s="708" t="s">
        <v>445</v>
      </c>
      <c r="T54" s="708">
        <v>43435</v>
      </c>
      <c r="U54" s="233"/>
      <c r="V54" s="17"/>
      <c r="X54" s="779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2" t="s">
        <v>409</v>
      </c>
      <c r="B55" s="612" t="s">
        <v>482</v>
      </c>
      <c r="C55" s="612">
        <v>7883</v>
      </c>
      <c r="D55" s="612" t="s">
        <v>483</v>
      </c>
      <c r="E55" s="612" t="s">
        <v>484</v>
      </c>
      <c r="F55" s="612" t="s">
        <v>285</v>
      </c>
      <c r="G55" s="1461" t="s">
        <v>485</v>
      </c>
      <c r="H55" s="708" t="s">
        <v>486</v>
      </c>
      <c r="I55" s="1734">
        <v>44834</v>
      </c>
      <c r="J55" s="612">
        <v>8.1942000000000001E-2</v>
      </c>
      <c r="K55" s="612" t="s">
        <v>479</v>
      </c>
      <c r="L55" s="612">
        <v>111</v>
      </c>
      <c r="M55" s="612"/>
      <c r="N55" s="612"/>
      <c r="O55" s="612">
        <v>2022</v>
      </c>
      <c r="P55" s="708" t="s">
        <v>444</v>
      </c>
      <c r="Q55" s="612"/>
      <c r="R55" s="708"/>
      <c r="S55" s="708" t="s">
        <v>445</v>
      </c>
      <c r="T55" s="708">
        <v>43435</v>
      </c>
      <c r="U55" s="233"/>
      <c r="V55" s="17"/>
      <c r="X55" s="779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2" t="s">
        <v>457</v>
      </c>
      <c r="B56" s="612" t="s">
        <v>487</v>
      </c>
      <c r="C56" s="612">
        <v>11763</v>
      </c>
      <c r="D56" s="612" t="s">
        <v>488</v>
      </c>
      <c r="E56" s="612" t="s">
        <v>489</v>
      </c>
      <c r="F56" s="612" t="s">
        <v>285</v>
      </c>
      <c r="G56" s="1461" t="s">
        <v>490</v>
      </c>
      <c r="H56" s="708" t="s">
        <v>491</v>
      </c>
      <c r="I56" s="1734">
        <v>44834</v>
      </c>
      <c r="J56" s="612">
        <v>8.1942000000000001E-2</v>
      </c>
      <c r="K56" s="612" t="s">
        <v>479</v>
      </c>
      <c r="L56" s="612">
        <v>111</v>
      </c>
      <c r="M56" s="612"/>
      <c r="N56" s="612"/>
      <c r="O56" s="612">
        <v>2022</v>
      </c>
      <c r="P56" s="708" t="s">
        <v>444</v>
      </c>
      <c r="Q56" s="612"/>
      <c r="R56" s="708"/>
      <c r="S56" s="708" t="s">
        <v>445</v>
      </c>
      <c r="T56" s="708">
        <v>43466</v>
      </c>
      <c r="U56" s="233"/>
      <c r="V56" s="17"/>
      <c r="X56" s="612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2" t="s">
        <v>492</v>
      </c>
      <c r="B57" s="612" t="s">
        <v>493</v>
      </c>
      <c r="C57" s="612">
        <v>5374</v>
      </c>
      <c r="D57" s="612" t="s">
        <v>494</v>
      </c>
      <c r="E57" s="612" t="s">
        <v>495</v>
      </c>
      <c r="F57" s="612" t="s">
        <v>285</v>
      </c>
      <c r="G57" s="1461" t="s">
        <v>496</v>
      </c>
      <c r="H57" s="708" t="s">
        <v>497</v>
      </c>
      <c r="I57" s="1734">
        <v>44834</v>
      </c>
      <c r="J57" s="612">
        <v>8.1942000000000001E-2</v>
      </c>
      <c r="K57" s="612" t="s">
        <v>479</v>
      </c>
      <c r="L57" s="612">
        <v>111</v>
      </c>
      <c r="M57" s="612"/>
      <c r="N57" s="612"/>
      <c r="O57" s="612">
        <v>2022</v>
      </c>
      <c r="P57" s="708" t="s">
        <v>444</v>
      </c>
      <c r="Q57" s="612"/>
      <c r="R57" s="708"/>
      <c r="S57" s="708" t="s">
        <v>445</v>
      </c>
      <c r="T57" s="708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2" t="s">
        <v>10</v>
      </c>
      <c r="B58" s="612" t="s">
        <v>499</v>
      </c>
      <c r="C58" s="612">
        <v>5346</v>
      </c>
      <c r="D58" s="612" t="s">
        <v>500</v>
      </c>
      <c r="E58" s="612" t="s">
        <v>501</v>
      </c>
      <c r="F58" s="612" t="s">
        <v>379</v>
      </c>
      <c r="G58" s="612" t="s">
        <v>502</v>
      </c>
      <c r="H58" s="708" t="s">
        <v>503</v>
      </c>
      <c r="I58" s="1734">
        <v>44917</v>
      </c>
      <c r="J58" s="612">
        <v>8.1942000000000001E-2</v>
      </c>
      <c r="K58" s="612" t="s">
        <v>291</v>
      </c>
      <c r="L58" s="612">
        <v>110</v>
      </c>
      <c r="M58" s="612"/>
      <c r="N58" s="612"/>
      <c r="O58" s="612">
        <v>2022</v>
      </c>
      <c r="P58" s="708"/>
      <c r="Q58" s="612"/>
      <c r="R58" s="708"/>
      <c r="S58" s="708" t="s">
        <v>445</v>
      </c>
      <c r="T58" s="708">
        <v>43525</v>
      </c>
      <c r="U58" s="233"/>
      <c r="V58" s="17"/>
      <c r="X58" s="779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2" t="s">
        <v>11</v>
      </c>
      <c r="B59" s="612" t="s">
        <v>504</v>
      </c>
      <c r="C59" s="612">
        <v>5345</v>
      </c>
      <c r="D59" s="612" t="s">
        <v>505</v>
      </c>
      <c r="E59" s="612" t="s">
        <v>506</v>
      </c>
      <c r="F59" s="612" t="s">
        <v>379</v>
      </c>
      <c r="G59" s="612" t="s">
        <v>507</v>
      </c>
      <c r="H59" s="708" t="s">
        <v>508</v>
      </c>
      <c r="I59" s="1734">
        <v>44917</v>
      </c>
      <c r="J59" s="612">
        <v>8.1942000000000001E-2</v>
      </c>
      <c r="K59" s="612" t="s">
        <v>291</v>
      </c>
      <c r="L59" s="612">
        <v>110</v>
      </c>
      <c r="M59" s="612"/>
      <c r="N59" s="612"/>
      <c r="O59" s="612">
        <v>2022</v>
      </c>
      <c r="P59" s="708"/>
      <c r="Q59" s="612"/>
      <c r="R59" s="708"/>
      <c r="S59" s="708" t="s">
        <v>445</v>
      </c>
      <c r="T59" s="708">
        <v>43525</v>
      </c>
      <c r="U59" s="233"/>
      <c r="V59" s="17"/>
      <c r="X59" s="779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2" t="s">
        <v>265</v>
      </c>
      <c r="B60" s="612" t="s">
        <v>509</v>
      </c>
      <c r="C60" s="612">
        <v>7467</v>
      </c>
      <c r="D60" s="612" t="s">
        <v>510</v>
      </c>
      <c r="E60" s="612" t="s">
        <v>511</v>
      </c>
      <c r="F60" s="612" t="s">
        <v>224</v>
      </c>
      <c r="G60" s="612" t="s">
        <v>512</v>
      </c>
      <c r="H60" s="708" t="s">
        <v>513</v>
      </c>
      <c r="I60" s="1734">
        <v>44710</v>
      </c>
      <c r="J60" s="612">
        <v>8.1942000000000001E-2</v>
      </c>
      <c r="K60" s="612" t="s">
        <v>125</v>
      </c>
      <c r="L60" s="612">
        <v>136</v>
      </c>
      <c r="M60" s="612" t="s">
        <v>136</v>
      </c>
      <c r="N60" s="612">
        <v>145</v>
      </c>
      <c r="O60" s="612">
        <v>2023</v>
      </c>
      <c r="P60" s="708"/>
      <c r="Q60" s="612"/>
      <c r="R60" s="708"/>
      <c r="S60" s="708" t="s">
        <v>445</v>
      </c>
      <c r="T60" s="708">
        <v>43614</v>
      </c>
      <c r="X60" s="779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5" t="s">
        <v>258</v>
      </c>
      <c r="B61" s="495" t="s">
        <v>514</v>
      </c>
      <c r="C61" s="495">
        <v>5343</v>
      </c>
      <c r="D61" s="612" t="s">
        <v>515</v>
      </c>
      <c r="E61" s="495" t="s">
        <v>516</v>
      </c>
      <c r="F61" s="495" t="s">
        <v>379</v>
      </c>
      <c r="G61" s="708">
        <v>43831</v>
      </c>
      <c r="H61" s="822" t="s">
        <v>518</v>
      </c>
      <c r="I61" s="1734">
        <v>44772</v>
      </c>
      <c r="J61" s="612">
        <v>8.1942000000000001E-2</v>
      </c>
      <c r="K61" s="495" t="s">
        <v>167</v>
      </c>
      <c r="L61" s="495">
        <v>167</v>
      </c>
      <c r="M61" s="495" t="s">
        <v>517</v>
      </c>
      <c r="N61" s="495">
        <v>164</v>
      </c>
      <c r="O61" s="495">
        <v>2022</v>
      </c>
      <c r="P61" s="495"/>
      <c r="Q61" s="822"/>
      <c r="R61" s="822"/>
      <c r="S61" s="708" t="s">
        <v>519</v>
      </c>
      <c r="T61" s="822">
        <v>44105</v>
      </c>
      <c r="X61" s="612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49"/>
    </row>
    <row r="64" spans="1:50">
      <c r="B64">
        <v>6896</v>
      </c>
    </row>
    <row r="66" spans="1:14" hidden="1">
      <c r="A66" s="624" t="s">
        <v>520</v>
      </c>
    </row>
    <row r="67" spans="1:14" hidden="1"/>
    <row r="68" spans="1:14" hidden="1">
      <c r="A68" s="496" t="s">
        <v>521</v>
      </c>
      <c r="B68" s="496" t="s">
        <v>27</v>
      </c>
      <c r="C68" s="496" t="s">
        <v>522</v>
      </c>
      <c r="D68" s="496" t="s">
        <v>523</v>
      </c>
      <c r="E68" s="496" t="s">
        <v>524</v>
      </c>
      <c r="F68" s="496" t="s">
        <v>525</v>
      </c>
      <c r="G68" s="496" t="s">
        <v>526</v>
      </c>
      <c r="H68" s="496" t="s">
        <v>527</v>
      </c>
      <c r="I68" s="496" t="s">
        <v>528</v>
      </c>
      <c r="J68" s="496" t="s">
        <v>529</v>
      </c>
      <c r="K68" s="502" t="s">
        <v>530</v>
      </c>
      <c r="L68" s="496" t="s">
        <v>531</v>
      </c>
      <c r="M68" s="502" t="s">
        <v>532</v>
      </c>
      <c r="N68" s="502" t="s">
        <v>2028</v>
      </c>
    </row>
    <row r="69" spans="1:14" hidden="1">
      <c r="A69" s="468" t="s">
        <v>220</v>
      </c>
      <c r="B69" s="612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7">
        <v>0.85740000000000005</v>
      </c>
      <c r="H69" s="497">
        <v>0.64305000000000001</v>
      </c>
      <c r="I69" s="497">
        <v>0.33069999999999999</v>
      </c>
      <c r="J69" s="499">
        <v>0.33069999999999999</v>
      </c>
      <c r="K69" s="651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7">
        <v>0.81920000000000004</v>
      </c>
      <c r="H70" s="497">
        <v>0.61440000000000006</v>
      </c>
      <c r="I70" s="497">
        <v>0.33069999999999999</v>
      </c>
      <c r="J70" s="499">
        <v>0.33069999999999999</v>
      </c>
      <c r="K70" s="651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7">
        <v>0.62490000000000001</v>
      </c>
      <c r="H71" s="497">
        <v>0.46867500000000001</v>
      </c>
      <c r="I71" s="497">
        <v>0.45379999999999998</v>
      </c>
      <c r="J71" s="499">
        <v>0.45379999999999998</v>
      </c>
      <c r="K71" s="651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7">
        <v>0.53426551936078681</v>
      </c>
      <c r="H72" s="497">
        <v>0.40069913952059011</v>
      </c>
      <c r="I72" s="497">
        <v>0.40069913952059011</v>
      </c>
      <c r="J72" s="499">
        <v>0.4007</v>
      </c>
      <c r="K72" s="651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1">
        <v>0</v>
      </c>
      <c r="H73" s="651">
        <v>0</v>
      </c>
      <c r="I73" s="651">
        <v>0</v>
      </c>
      <c r="J73" s="498">
        <v>0</v>
      </c>
      <c r="K73" s="651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7">
        <v>0.57969814099024475</v>
      </c>
      <c r="H74" s="497">
        <v>0.57969814099024475</v>
      </c>
      <c r="I74" s="497">
        <v>0.57969814099024475</v>
      </c>
      <c r="J74" s="497">
        <v>0.57969814099024475</v>
      </c>
      <c r="K74" s="651">
        <v>0.30859999999999999</v>
      </c>
      <c r="L74" s="823">
        <v>0</v>
      </c>
      <c r="M74" s="1447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7">
        <v>0.54564975934838955</v>
      </c>
      <c r="H75" s="497">
        <v>0.54564975934838955</v>
      </c>
      <c r="I75" s="497">
        <v>0.54564975934838955</v>
      </c>
      <c r="J75" s="497">
        <v>0.54564975934838955</v>
      </c>
      <c r="K75" s="651">
        <v>0.30859999999999999</v>
      </c>
      <c r="L75" s="823">
        <v>0.29099999999999998</v>
      </c>
      <c r="M75" s="1448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7">
        <v>0.89512907191149349</v>
      </c>
      <c r="H76" s="497">
        <v>0.67134680393362012</v>
      </c>
      <c r="I76" s="497">
        <v>0.67134680393362012</v>
      </c>
      <c r="J76" s="499">
        <v>0.65039999999999998</v>
      </c>
      <c r="K76" s="651">
        <v>0.57469999999999999</v>
      </c>
      <c r="L76" s="823">
        <v>0.56379999999999997</v>
      </c>
      <c r="M76" s="1448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7">
        <v>0.90610167159661548</v>
      </c>
      <c r="H77" s="497">
        <v>0.67957625369746166</v>
      </c>
      <c r="I77" s="497">
        <v>0.222</v>
      </c>
      <c r="J77" s="499">
        <v>0.1933</v>
      </c>
      <c r="K77" s="651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7">
        <v>0.73094654242275625</v>
      </c>
      <c r="H78" s="497">
        <v>0.54820990681706716</v>
      </c>
      <c r="I78" s="497">
        <v>0.40820000000000001</v>
      </c>
      <c r="J78" s="499">
        <v>0.40816629218792566</v>
      </c>
      <c r="K78" s="651">
        <v>0.38150000000000001</v>
      </c>
      <c r="L78" s="823">
        <v>0.2326</v>
      </c>
      <c r="M78" s="1448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7">
        <v>0.73094654242275625</v>
      </c>
      <c r="H79" s="497">
        <v>0.54820990681706716</v>
      </c>
      <c r="I79" s="497">
        <v>0.40820000000000001</v>
      </c>
      <c r="J79" s="499">
        <v>0.40816629218792566</v>
      </c>
      <c r="K79" s="651">
        <v>0.38150000000000001</v>
      </c>
      <c r="L79" s="823">
        <v>0.2326</v>
      </c>
      <c r="M79" s="1448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7">
        <v>0.47579901659496004</v>
      </c>
      <c r="H80" s="497">
        <v>0.35684926244622006</v>
      </c>
      <c r="I80" s="497">
        <v>0.35684926244622006</v>
      </c>
      <c r="J80" s="499">
        <v>0.34470000000000001</v>
      </c>
      <c r="K80" s="651">
        <v>0.1027</v>
      </c>
      <c r="L80" s="823">
        <v>9.9400000000000002E-2</v>
      </c>
      <c r="M80" s="1448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7">
        <v>0.47579901659496004</v>
      </c>
      <c r="H81" s="497">
        <v>0.35684926244622006</v>
      </c>
      <c r="I81" s="497">
        <v>0.35684926244622006</v>
      </c>
      <c r="J81" s="499">
        <v>0.34470000000000001</v>
      </c>
      <c r="K81" s="651">
        <v>0.1027</v>
      </c>
      <c r="L81" s="823">
        <v>9.9400000000000002E-2</v>
      </c>
      <c r="M81" s="1448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7">
        <v>0.71649852236828693</v>
      </c>
      <c r="H82" s="497">
        <v>0.5373738917762152</v>
      </c>
      <c r="I82" s="497">
        <v>0.35820000000000002</v>
      </c>
      <c r="J82" s="499">
        <v>0</v>
      </c>
      <c r="K82" s="651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7">
        <v>0.89474492931776273</v>
      </c>
      <c r="H83" s="497">
        <v>0.6710586969883221</v>
      </c>
      <c r="I83" s="497">
        <v>0.6710586969883221</v>
      </c>
      <c r="J83" s="499">
        <v>0.67110000000000003</v>
      </c>
      <c r="K83" s="651">
        <v>0.67110000000000003</v>
      </c>
      <c r="L83" s="823">
        <v>0.63749999999999996</v>
      </c>
      <c r="M83" s="1448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7">
        <v>0.87464280342908707</v>
      </c>
      <c r="H84" s="497">
        <v>0.65598210257181533</v>
      </c>
      <c r="I84" s="497">
        <v>0.43730000000000002</v>
      </c>
      <c r="J84" s="497">
        <v>0.43730000000000002</v>
      </c>
      <c r="K84" s="651">
        <v>0.43730000000000002</v>
      </c>
      <c r="L84" s="823">
        <f>DescontosTE[[#This Row],[2019]]</f>
        <v>0.43730000000000002</v>
      </c>
      <c r="M84" s="1449">
        <f>DescontosTE[[#This Row],[2020]]</f>
        <v>0.43730000000000002</v>
      </c>
      <c r="N84" s="1449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7">
        <v>0.72464658881376764</v>
      </c>
      <c r="H85" s="497">
        <v>0.54348494161032579</v>
      </c>
      <c r="I85" s="497">
        <v>0.54348494161032579</v>
      </c>
      <c r="J85" s="499">
        <v>0.54349999999999998</v>
      </c>
      <c r="K85" s="651">
        <v>0.33379999999999999</v>
      </c>
      <c r="L85" s="823">
        <v>0.25619999999999998</v>
      </c>
      <c r="M85" s="1448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7">
        <v>0.69825990373935576</v>
      </c>
      <c r="H86" s="497">
        <v>0.69825990373935576</v>
      </c>
      <c r="I86" s="497">
        <v>0.54749999999999999</v>
      </c>
      <c r="J86" s="499">
        <v>0.48209999999999997</v>
      </c>
      <c r="K86" s="651">
        <v>0.42549999999999999</v>
      </c>
      <c r="L86" s="823">
        <v>0.37969999999999998</v>
      </c>
      <c r="M86" s="1448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7">
        <v>0.7833435771358328</v>
      </c>
      <c r="H87" s="497">
        <v>0.5875076828518746</v>
      </c>
      <c r="I87" s="497">
        <v>0.5875076828518746</v>
      </c>
      <c r="J87" s="499">
        <v>0.58750000000000002</v>
      </c>
      <c r="K87" s="651">
        <v>0.56830000000000003</v>
      </c>
      <c r="L87" s="823">
        <v>0.55110000000000003</v>
      </c>
      <c r="M87" s="1448">
        <v>0.48010000000000003</v>
      </c>
    </row>
    <row r="88" spans="1:14" hidden="1">
      <c r="A88" s="468" t="s">
        <v>144</v>
      </c>
      <c r="B88" s="468" t="s">
        <v>167</v>
      </c>
      <c r="C88" s="590">
        <v>167</v>
      </c>
      <c r="D88" s="590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7">
        <v>0.82731282784930849</v>
      </c>
      <c r="H88" s="497">
        <v>0.82731282784930849</v>
      </c>
      <c r="I88" s="497">
        <v>0.82731282784930849</v>
      </c>
      <c r="J88" s="499">
        <v>0.2782</v>
      </c>
      <c r="K88" s="651">
        <v>0.2782</v>
      </c>
      <c r="L88" s="823">
        <v>0.2132</v>
      </c>
      <c r="M88" s="1448">
        <v>0.2132</v>
      </c>
    </row>
    <row r="89" spans="1:14" hidden="1">
      <c r="A89" s="468" t="s">
        <v>144</v>
      </c>
      <c r="B89" s="468" t="s">
        <v>167</v>
      </c>
      <c r="C89" s="590">
        <v>167</v>
      </c>
      <c r="D89" s="590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7">
        <v>0.73575345731998087</v>
      </c>
      <c r="H89" s="497">
        <v>0.73575345731998087</v>
      </c>
      <c r="I89" s="497">
        <v>0.73575345731998087</v>
      </c>
      <c r="J89" s="499">
        <v>0.2782</v>
      </c>
      <c r="K89" s="651">
        <v>0.2782</v>
      </c>
      <c r="L89" s="823">
        <v>0.2132</v>
      </c>
      <c r="M89" s="1448">
        <v>0.2132</v>
      </c>
    </row>
    <row r="90" spans="1:14" hidden="1">
      <c r="A90" s="468" t="s">
        <v>144</v>
      </c>
      <c r="B90" s="468" t="s">
        <v>167</v>
      </c>
      <c r="C90" s="590">
        <v>167</v>
      </c>
      <c r="D90" s="590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7">
        <v>0.73033677201026148</v>
      </c>
      <c r="H90" s="497">
        <v>0.73033677201026148</v>
      </c>
      <c r="I90" s="497">
        <v>0.73033677201026148</v>
      </c>
      <c r="J90" s="499">
        <v>0.2782</v>
      </c>
      <c r="K90" s="651">
        <v>0.2782</v>
      </c>
      <c r="L90" s="823">
        <v>0.2132</v>
      </c>
      <c r="M90" s="1448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7">
        <v>0.63275249814187795</v>
      </c>
      <c r="H91" s="497">
        <v>0.47456437360640846</v>
      </c>
      <c r="I91" s="497">
        <v>0.3463</v>
      </c>
      <c r="J91" s="499">
        <v>0.33600000000000002</v>
      </c>
      <c r="K91" s="774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7">
        <v>0.76371671876684266</v>
      </c>
      <c r="H92" s="497">
        <v>0.57278753907513202</v>
      </c>
      <c r="I92" s="497">
        <v>0.38190000000000002</v>
      </c>
      <c r="J92" s="499">
        <v>1.2E-2</v>
      </c>
      <c r="K92" s="778">
        <v>1.2E-2</v>
      </c>
      <c r="L92" s="823">
        <f>DescontosTE[[#This Row],[2019]]</f>
        <v>1.2E-2</v>
      </c>
      <c r="M92" s="499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7">
        <v>0.76627856834842611</v>
      </c>
      <c r="H93" s="497">
        <v>0.57470892626131964</v>
      </c>
      <c r="I93" s="497">
        <v>0.3831</v>
      </c>
      <c r="J93" s="499">
        <v>1.2E-2</v>
      </c>
      <c r="K93" s="778">
        <v>1.2E-2</v>
      </c>
      <c r="L93" s="823">
        <f>DescontosTE[[#This Row],[2019]]</f>
        <v>1.2E-2</v>
      </c>
      <c r="M93" s="499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7">
        <v>0.85982875805455028</v>
      </c>
      <c r="H94" s="497">
        <v>0.64487156854091277</v>
      </c>
      <c r="I94" s="497">
        <v>0.4299</v>
      </c>
      <c r="J94" s="499">
        <v>1.2E-2</v>
      </c>
      <c r="K94" s="778">
        <v>1.2E-2</v>
      </c>
      <c r="L94" s="823">
        <f>DescontosTE[[#This Row],[2019]]</f>
        <v>1.2E-2</v>
      </c>
      <c r="M94" s="499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7">
        <v>0.72071674463765556</v>
      </c>
      <c r="H95" s="497">
        <v>0.5405375584782417</v>
      </c>
      <c r="I95" s="497">
        <v>0.3604</v>
      </c>
      <c r="J95" s="499">
        <v>1.2E-2</v>
      </c>
      <c r="K95" s="778">
        <v>1.2E-2</v>
      </c>
      <c r="L95" s="823">
        <f>DescontosTE[[#This Row],[2019]]</f>
        <v>1.2E-2</v>
      </c>
      <c r="M95" s="499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7">
        <v>0.69352987907140973</v>
      </c>
      <c r="H96" s="497">
        <v>0.5201474093035573</v>
      </c>
      <c r="I96" s="497">
        <v>0.3468</v>
      </c>
      <c r="J96" s="499">
        <v>1.2E-2</v>
      </c>
      <c r="K96" s="778">
        <v>1.2E-2</v>
      </c>
      <c r="L96" s="823">
        <f>DescontosTE[[#This Row],[2019]]</f>
        <v>1.2E-2</v>
      </c>
      <c r="M96" s="499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7">
        <v>0.88419999999999999</v>
      </c>
      <c r="H97" s="497">
        <v>0.66315000000000002</v>
      </c>
      <c r="I97" s="497">
        <v>0.61850000000000005</v>
      </c>
      <c r="J97" s="499">
        <v>0.59560000000000002</v>
      </c>
      <c r="K97" s="651">
        <v>0.58150000000000002</v>
      </c>
      <c r="L97" s="823">
        <v>0.58150000000000002</v>
      </c>
      <c r="M97" s="1448">
        <v>0.58150000000000002</v>
      </c>
    </row>
    <row r="98" spans="1:13" hidden="1">
      <c r="A98" s="468" t="s">
        <v>541</v>
      </c>
      <c r="B98" s="612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7">
        <v>0.36708496982469596</v>
      </c>
      <c r="H98" s="497">
        <v>0.275313727368522</v>
      </c>
      <c r="I98" s="497">
        <v>0.275313727368522</v>
      </c>
      <c r="J98" s="499">
        <v>0.22059999999999999</v>
      </c>
      <c r="K98" s="651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0">
        <v>167</v>
      </c>
      <c r="D99" s="590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7">
        <v>0.5923752369117381</v>
      </c>
      <c r="H99" s="497">
        <v>0.5923752369117381</v>
      </c>
      <c r="I99" s="497">
        <v>0.44429999999999997</v>
      </c>
      <c r="J99" s="499">
        <v>0</v>
      </c>
      <c r="K99" s="651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0">
        <v>167</v>
      </c>
      <c r="D100" s="590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7">
        <v>0.5923752369117381</v>
      </c>
      <c r="H100" s="497">
        <v>0.5923752369117381</v>
      </c>
      <c r="I100" s="497">
        <v>0.44429999999999997</v>
      </c>
      <c r="J100" s="499">
        <v>0</v>
      </c>
      <c r="K100" s="651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0">
        <v>167</v>
      </c>
      <c r="D101" s="590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7">
        <v>8.6300000000000002E-2</v>
      </c>
      <c r="H101" s="497">
        <v>8.6300000000000002E-2</v>
      </c>
      <c r="I101" s="497">
        <v>6.4699999999999994E-2</v>
      </c>
      <c r="J101" s="499">
        <v>0</v>
      </c>
      <c r="K101" s="651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7">
        <v>0.71025546094039238</v>
      </c>
      <c r="H102" s="497">
        <v>0.71025546094039238</v>
      </c>
      <c r="I102" s="497">
        <v>0.71025546094039238</v>
      </c>
      <c r="J102" s="499">
        <v>0.67859999999999998</v>
      </c>
      <c r="K102" s="651">
        <v>0.61480000000000001</v>
      </c>
      <c r="L102" s="823">
        <v>0.55579999999999996</v>
      </c>
      <c r="M102" s="1448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7">
        <v>0.71025546094039238</v>
      </c>
      <c r="H103" s="497">
        <v>0.71025546094039238</v>
      </c>
      <c r="I103" s="497">
        <v>0.71025546094039238</v>
      </c>
      <c r="J103" s="499">
        <v>0.67859999999999998</v>
      </c>
      <c r="K103" s="651">
        <v>0.61480000000000001</v>
      </c>
      <c r="L103" s="823">
        <v>0.55579999999999996</v>
      </c>
      <c r="M103" s="1448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7">
        <v>0.90173092774063557</v>
      </c>
      <c r="H104" s="497">
        <v>0.67629819580547668</v>
      </c>
      <c r="I104" s="497">
        <v>0.45090000000000002</v>
      </c>
      <c r="J104" s="499">
        <v>0</v>
      </c>
      <c r="K104" s="651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7">
        <v>0.89981561155500922</v>
      </c>
      <c r="H105" s="497">
        <v>0.67486170866625694</v>
      </c>
      <c r="I105" s="497">
        <v>0.59530000000000005</v>
      </c>
      <c r="J105" s="499">
        <v>0.59530000000000005</v>
      </c>
      <c r="K105" s="651">
        <v>0.44540000000000002</v>
      </c>
      <c r="L105" s="823">
        <v>0.44540000000000002</v>
      </c>
      <c r="M105" s="1448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7">
        <v>0.90147665925690701</v>
      </c>
      <c r="H106" s="497">
        <v>0.67610749444268026</v>
      </c>
      <c r="I106" s="497">
        <v>0.45069999999999999</v>
      </c>
      <c r="J106" s="707">
        <v>0</v>
      </c>
      <c r="K106" s="651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7">
        <v>0.74668009891015652</v>
      </c>
      <c r="H107" s="497">
        <v>0.56001007418261739</v>
      </c>
      <c r="I107" s="497">
        <v>0.37330000000000002</v>
      </c>
      <c r="J107" s="707">
        <v>0.31390000000000001</v>
      </c>
      <c r="K107" s="651">
        <v>0.31390000000000001</v>
      </c>
      <c r="L107" s="823">
        <v>7.5600000000000001E-2</v>
      </c>
      <c r="M107" s="1448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7">
        <v>0.7457129247380121</v>
      </c>
      <c r="H108" s="497">
        <v>0.55928469355350907</v>
      </c>
      <c r="I108" s="497">
        <v>0.37290000000000001</v>
      </c>
      <c r="J108" s="707">
        <v>0.31390000000000001</v>
      </c>
      <c r="K108" s="651">
        <v>0.31390000000000001</v>
      </c>
      <c r="L108" s="823">
        <v>7.5600000000000001E-2</v>
      </c>
      <c r="M108" s="1448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7">
        <v>0.6419022741241549</v>
      </c>
      <c r="H109" s="497">
        <v>0.48142670559311618</v>
      </c>
      <c r="I109" s="497">
        <v>0.48139999999999999</v>
      </c>
      <c r="J109" s="499">
        <v>0.48139999999999999</v>
      </c>
      <c r="K109" s="651">
        <v>0.48139999999999999</v>
      </c>
      <c r="L109" s="823">
        <v>0.48139999999999999</v>
      </c>
      <c r="M109" s="1448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7">
        <v>0.83597111247695144</v>
      </c>
      <c r="H110" s="497">
        <v>0.62697833435771355</v>
      </c>
      <c r="I110" s="497">
        <v>0.59899999999999998</v>
      </c>
      <c r="J110" s="499">
        <v>0.59009999999999996</v>
      </c>
      <c r="K110" s="651">
        <v>0.59009999999999996</v>
      </c>
      <c r="L110" s="823">
        <v>0.55869999999999997</v>
      </c>
      <c r="M110" s="1448">
        <v>0.55869999999999997</v>
      </c>
    </row>
    <row r="111" spans="1:13" hidden="1">
      <c r="A111" s="468" t="s">
        <v>387</v>
      </c>
      <c r="B111" s="468" t="s">
        <v>167</v>
      </c>
      <c r="C111" s="590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7">
        <v>0.8415330252786084</v>
      </c>
      <c r="H111" s="497">
        <v>0.63114976895895625</v>
      </c>
      <c r="I111" s="497">
        <v>0.42080000000000001</v>
      </c>
      <c r="J111" s="499">
        <v>0.21149999999999999</v>
      </c>
      <c r="K111" s="651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0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7">
        <v>0.8415330252786084</v>
      </c>
      <c r="H112" s="497">
        <v>0.63114976895895625</v>
      </c>
      <c r="I112" s="497">
        <v>0.42080000000000001</v>
      </c>
      <c r="J112" s="499">
        <v>0.21149999999999999</v>
      </c>
      <c r="K112" s="651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7">
        <v>0.8239405071230177</v>
      </c>
      <c r="H113" s="497">
        <v>0.61795538034226327</v>
      </c>
      <c r="I113" s="497">
        <v>0.41199999999999998</v>
      </c>
      <c r="J113" s="499">
        <v>0.21149999999999999</v>
      </c>
      <c r="K113" s="651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0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7">
        <v>0.60488390712570062</v>
      </c>
      <c r="H114" s="497">
        <v>0.60488390712570062</v>
      </c>
      <c r="I114" s="497">
        <v>0.60488390712570062</v>
      </c>
      <c r="J114" s="499">
        <v>0.58309999999999995</v>
      </c>
      <c r="K114" s="651">
        <v>0.48330000000000001</v>
      </c>
      <c r="L114" s="823">
        <v>0.35730000000000001</v>
      </c>
      <c r="M114" s="1448">
        <v>0.32969999999999999</v>
      </c>
    </row>
    <row r="115" spans="1:13" hidden="1">
      <c r="A115" s="468" t="s">
        <v>165</v>
      </c>
      <c r="B115" s="468" t="s">
        <v>167</v>
      </c>
      <c r="C115" s="590">
        <v>167</v>
      </c>
      <c r="D115" s="590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7">
        <v>0.54613733905579398</v>
      </c>
      <c r="H115" s="497">
        <v>0.54613733905579398</v>
      </c>
      <c r="I115" s="497">
        <v>0.54613733905579398</v>
      </c>
      <c r="J115" s="499">
        <v>0.54610000000000003</v>
      </c>
      <c r="K115" s="651">
        <v>0.48330000000000001</v>
      </c>
      <c r="L115" s="823">
        <v>0.35730000000000001</v>
      </c>
      <c r="M115" s="1448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7">
        <v>0.88707885968159939</v>
      </c>
      <c r="H116" s="497">
        <v>0.88707885968159939</v>
      </c>
      <c r="I116" s="497">
        <v>0.88707885968159939</v>
      </c>
      <c r="J116" s="499">
        <v>0.81359999999999999</v>
      </c>
      <c r="K116" s="651">
        <v>0.81359999999999999</v>
      </c>
      <c r="L116" s="823">
        <v>0.81359999999999999</v>
      </c>
      <c r="M116" s="1448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7">
        <v>0.50648278140226277</v>
      </c>
      <c r="H117" s="497">
        <v>0.37986208605169708</v>
      </c>
      <c r="I117" s="497">
        <v>0.1396</v>
      </c>
      <c r="J117" s="499">
        <v>0.1396</v>
      </c>
      <c r="K117" s="651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7">
        <v>0.66580422595946531</v>
      </c>
      <c r="H118" s="497">
        <v>0.49935316946959896</v>
      </c>
      <c r="I118" s="497">
        <v>0.1396</v>
      </c>
      <c r="J118" s="499">
        <v>0.1396</v>
      </c>
      <c r="K118" s="651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7">
        <v>0.78664720344191763</v>
      </c>
      <c r="H119" s="497">
        <v>0.58998540258143817</v>
      </c>
      <c r="I119" s="497">
        <v>0.58998540258143817</v>
      </c>
      <c r="J119" s="499">
        <v>0.59</v>
      </c>
      <c r="K119" s="651">
        <v>0.59</v>
      </c>
      <c r="L119" s="823">
        <v>0.59</v>
      </c>
      <c r="M119" s="1448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7">
        <v>0.43784572833435764</v>
      </c>
      <c r="H120" s="497">
        <v>0.43784572833435764</v>
      </c>
      <c r="I120" s="497">
        <v>0.43780000000000002</v>
      </c>
      <c r="J120" s="499">
        <v>0.43780000000000002</v>
      </c>
      <c r="K120" s="651">
        <v>0.43780000000000002</v>
      </c>
      <c r="L120" s="823">
        <v>0.42730000000000001</v>
      </c>
      <c r="M120" s="1448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7">
        <v>0.74423786109403811</v>
      </c>
      <c r="H121" s="497">
        <v>0.74423786109403811</v>
      </c>
      <c r="I121" s="497">
        <v>0.66139999999999999</v>
      </c>
      <c r="J121" s="499">
        <v>0.6452</v>
      </c>
      <c r="K121" s="651">
        <v>0.4995</v>
      </c>
      <c r="L121" s="823">
        <v>0.42730000000000001</v>
      </c>
      <c r="M121" s="1448">
        <v>0.42730000000000001</v>
      </c>
    </row>
    <row r="122" spans="1:13" hidden="1">
      <c r="A122" s="468" t="s">
        <v>358</v>
      </c>
      <c r="B122" s="495" t="s">
        <v>362</v>
      </c>
      <c r="C122" s="495">
        <v>144</v>
      </c>
      <c r="D122" s="495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7">
        <v>0.75887474882786332</v>
      </c>
      <c r="H122" s="497">
        <v>0.75887474882786332</v>
      </c>
      <c r="I122" s="497">
        <v>0.66139999999999999</v>
      </c>
      <c r="J122" s="499">
        <v>0.6452</v>
      </c>
      <c r="K122" s="651">
        <v>0.4995</v>
      </c>
      <c r="L122" s="823">
        <v>0.42730000000000001</v>
      </c>
      <c r="M122" s="1448">
        <v>0.42730000000000001</v>
      </c>
    </row>
    <row r="123" spans="1:13" hidden="1">
      <c r="A123" s="468" t="s">
        <v>398</v>
      </c>
      <c r="B123" s="468" t="s">
        <v>167</v>
      </c>
      <c r="C123" s="590">
        <v>167</v>
      </c>
      <c r="D123" s="590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7">
        <v>0.81789999999999996</v>
      </c>
      <c r="H123" s="497">
        <v>0.81789999999999996</v>
      </c>
      <c r="I123" s="497">
        <v>0.65900000000000003</v>
      </c>
      <c r="J123" s="499">
        <v>0</v>
      </c>
      <c r="K123" s="651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0">
        <v>167</v>
      </c>
      <c r="D124" s="590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7">
        <v>0.81789999999999996</v>
      </c>
      <c r="H124" s="497">
        <v>0.81789999999999996</v>
      </c>
      <c r="I124" s="497">
        <v>0.65900000000000003</v>
      </c>
      <c r="J124" s="499">
        <v>0</v>
      </c>
      <c r="K124" s="651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7">
        <v>0.53672403196066387</v>
      </c>
      <c r="H125" s="497">
        <v>0.4025430239704979</v>
      </c>
      <c r="I125" s="497">
        <v>0.38200000000000001</v>
      </c>
      <c r="J125" s="499">
        <v>0.35849999999999999</v>
      </c>
      <c r="K125" s="651">
        <v>4.9599999999999998E-2</v>
      </c>
      <c r="L125" s="823">
        <v>3.3399999999999999E-2</v>
      </c>
      <c r="M125" s="1448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7">
        <v>0.88667793484941604</v>
      </c>
      <c r="H126" s="497">
        <v>0.66500845113706197</v>
      </c>
      <c r="I126" s="497">
        <v>0.36559999999999998</v>
      </c>
      <c r="J126" s="499">
        <v>0.29060000000000002</v>
      </c>
      <c r="K126" s="651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0">
        <v>167</v>
      </c>
      <c r="D127" s="590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7">
        <v>0.63819999999999999</v>
      </c>
      <c r="H127" s="497">
        <v>0.63819999999999999</v>
      </c>
      <c r="I127" s="497">
        <v>0.44450000000000001</v>
      </c>
      <c r="J127" s="499">
        <v>0</v>
      </c>
      <c r="K127" s="651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0">
        <v>167</v>
      </c>
      <c r="D128" s="590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7">
        <v>0.63819999999999999</v>
      </c>
      <c r="H128" s="497">
        <v>0.63819999999999999</v>
      </c>
      <c r="I128" s="497">
        <v>0.47870000000000001</v>
      </c>
      <c r="J128" s="499">
        <v>0</v>
      </c>
      <c r="K128" s="651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0">
        <v>167</v>
      </c>
      <c r="D129" s="590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7">
        <v>0.53600000000000003</v>
      </c>
      <c r="H129" s="497">
        <v>0.53600000000000003</v>
      </c>
      <c r="I129" s="497">
        <v>0.40200000000000002</v>
      </c>
      <c r="J129" s="499">
        <v>0</v>
      </c>
      <c r="K129" s="651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0">
        <v>167</v>
      </c>
      <c r="D130" s="590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7">
        <v>0.83053171196948017</v>
      </c>
      <c r="H130" s="497">
        <v>0.83053171196948017</v>
      </c>
      <c r="I130" s="497">
        <v>0.83053171196948017</v>
      </c>
      <c r="J130" s="499">
        <v>0.34849999999999998</v>
      </c>
      <c r="K130" s="651">
        <v>0.34849999999999998</v>
      </c>
      <c r="L130" s="823">
        <v>0.28499999999999998</v>
      </c>
      <c r="M130" s="1448">
        <v>0.28499999999999998</v>
      </c>
    </row>
    <row r="131" spans="1:14" hidden="1">
      <c r="A131" s="468" t="s">
        <v>414</v>
      </c>
      <c r="B131" s="468" t="s">
        <v>167</v>
      </c>
      <c r="C131" s="590">
        <v>167</v>
      </c>
      <c r="D131" s="590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7">
        <v>0.76871721506914636</v>
      </c>
      <c r="H131" s="497">
        <v>0.76871721506914636</v>
      </c>
      <c r="I131" s="497">
        <v>0.76871721506914636</v>
      </c>
      <c r="J131" s="499">
        <v>0.46889999999999998</v>
      </c>
      <c r="K131" s="651">
        <v>0.46889999999999998</v>
      </c>
      <c r="L131" s="823">
        <v>0.214</v>
      </c>
      <c r="M131" s="1448">
        <v>0.214</v>
      </c>
    </row>
    <row r="132" spans="1:14" hidden="1">
      <c r="A132" s="468" t="s">
        <v>414</v>
      </c>
      <c r="B132" s="468" t="s">
        <v>167</v>
      </c>
      <c r="C132" s="590">
        <v>167</v>
      </c>
      <c r="D132" s="590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7">
        <v>2.0743919885550688E-2</v>
      </c>
      <c r="H132" s="497">
        <v>2.0743919885550688E-2</v>
      </c>
      <c r="I132" s="497">
        <v>2.0743919885550688E-2</v>
      </c>
      <c r="J132" s="499">
        <v>2.07E-2</v>
      </c>
      <c r="K132" s="651">
        <v>2.07E-2</v>
      </c>
      <c r="L132" s="823">
        <v>2.07E-2</v>
      </c>
      <c r="M132" s="1448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7"/>
      <c r="H133" s="497"/>
      <c r="I133" s="497"/>
      <c r="J133" s="499">
        <v>0.38529999999999998</v>
      </c>
      <c r="K133" s="778">
        <v>0.38529999999999998</v>
      </c>
      <c r="L133" s="823">
        <f>DescontosTE[[#This Row],[2019]]</f>
        <v>0.38529999999999998</v>
      </c>
      <c r="M133" s="499">
        <f>DescontosTE[[#This Row],[2020]]</f>
        <v>0.38529999999999998</v>
      </c>
      <c r="N133" s="499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7"/>
      <c r="H134" s="497"/>
      <c r="I134" s="497"/>
      <c r="J134" s="499">
        <v>0.38529999999999998</v>
      </c>
      <c r="K134" s="778">
        <v>0.38030000000000003</v>
      </c>
      <c r="L134" s="823">
        <f>DescontosTE[[#This Row],[2019]]</f>
        <v>0.38030000000000003</v>
      </c>
      <c r="M134" s="497">
        <v>0.26430999999999999</v>
      </c>
      <c r="N134" s="497">
        <v>0.26430999999999999</v>
      </c>
    </row>
    <row r="135" spans="1:14" hidden="1">
      <c r="A135" s="468" t="s">
        <v>327</v>
      </c>
      <c r="B135" s="468" t="s">
        <v>167</v>
      </c>
      <c r="C135" s="590">
        <v>167</v>
      </c>
      <c r="D135" s="590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7"/>
      <c r="H135" s="497"/>
      <c r="I135" s="497"/>
      <c r="J135" s="499">
        <v>0.1401</v>
      </c>
      <c r="K135" s="778">
        <v>0.1401</v>
      </c>
      <c r="L135" s="823">
        <v>0.1401</v>
      </c>
      <c r="M135" s="1448">
        <v>0.1401</v>
      </c>
    </row>
    <row r="136" spans="1:14" hidden="1">
      <c r="A136" s="468" t="s">
        <v>431</v>
      </c>
      <c r="B136" s="468" t="s">
        <v>167</v>
      </c>
      <c r="C136" s="590">
        <v>167</v>
      </c>
      <c r="D136" s="590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7"/>
      <c r="H136" s="497"/>
      <c r="I136" s="497"/>
      <c r="J136" s="499">
        <v>0.25359999999999999</v>
      </c>
      <c r="K136" s="778">
        <v>0.22370000000000001</v>
      </c>
      <c r="L136" s="823">
        <v>0.1273</v>
      </c>
      <c r="M136" s="1448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7"/>
      <c r="H137" s="497"/>
      <c r="I137" s="497"/>
      <c r="J137" s="499">
        <v>0.42030000000000001</v>
      </c>
      <c r="K137" s="778">
        <v>0.42030000000000001</v>
      </c>
      <c r="L137" s="823">
        <v>0.33839999999999998</v>
      </c>
      <c r="M137" s="1448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7"/>
      <c r="H138" s="497"/>
      <c r="I138" s="497"/>
      <c r="J138" s="499">
        <v>0.4153</v>
      </c>
      <c r="K138" s="778">
        <v>0.4153</v>
      </c>
      <c r="L138" s="823">
        <v>0.33839999999999998</v>
      </c>
      <c r="M138" s="1448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7"/>
      <c r="H139" s="497"/>
      <c r="I139" s="497"/>
      <c r="J139" s="499">
        <v>0.40989999999999999</v>
      </c>
      <c r="K139" s="778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7"/>
      <c r="H140" s="497"/>
      <c r="I140" s="497"/>
      <c r="J140" s="499">
        <v>0.4103</v>
      </c>
      <c r="K140" s="778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7"/>
      <c r="H141" s="497"/>
      <c r="I141" s="497"/>
      <c r="J141" s="499">
        <v>0.44009999999999999</v>
      </c>
      <c r="K141" s="778">
        <v>0.3735</v>
      </c>
      <c r="L141" s="823">
        <v>0.29289999999999999</v>
      </c>
      <c r="M141" s="1448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7"/>
      <c r="H142" s="497"/>
      <c r="I142" s="497"/>
      <c r="J142" s="499">
        <v>0.41320000000000001</v>
      </c>
      <c r="K142" s="778">
        <v>0.34079999999999999</v>
      </c>
      <c r="L142" s="823">
        <v>0.25679999999999997</v>
      </c>
      <c r="M142" s="1448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7"/>
      <c r="H143" s="497"/>
      <c r="I143" s="497"/>
      <c r="J143" s="499">
        <v>0.44009999999999999</v>
      </c>
      <c r="K143" s="778">
        <v>0.28170000000000001</v>
      </c>
      <c r="L143" s="823">
        <v>0.25019999999999998</v>
      </c>
      <c r="M143" s="1448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7"/>
      <c r="H144" s="497"/>
      <c r="I144" s="497"/>
      <c r="J144" s="499">
        <v>0.41320000000000001</v>
      </c>
      <c r="K144" s="778">
        <v>0.16650000000000001</v>
      </c>
      <c r="L144" s="823">
        <v>0.1057</v>
      </c>
      <c r="M144" s="1448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7"/>
      <c r="H145" s="497"/>
      <c r="I145" s="497"/>
      <c r="J145" s="499">
        <v>0.33779999999999999</v>
      </c>
      <c r="K145" s="778">
        <v>0.33779999999999999</v>
      </c>
      <c r="L145" s="823">
        <v>0.20419999999999999</v>
      </c>
      <c r="M145" s="1448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7"/>
      <c r="H146" s="497"/>
      <c r="I146" s="497"/>
      <c r="J146" s="499">
        <v>0.49409999999999998</v>
      </c>
      <c r="K146" s="778">
        <v>0.48630000000000001</v>
      </c>
      <c r="L146" s="823">
        <v>0.37609999999999999</v>
      </c>
      <c r="M146" s="1448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7"/>
      <c r="H147" s="497"/>
      <c r="I147" s="497"/>
      <c r="J147" s="499"/>
      <c r="K147" s="778">
        <v>0.18690000000000001</v>
      </c>
      <c r="L147" s="823">
        <v>0.1603</v>
      </c>
      <c r="M147" s="497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7"/>
      <c r="H148" s="497"/>
      <c r="I148" s="497"/>
      <c r="J148" s="499"/>
      <c r="K148" s="778">
        <v>0.18690000000000001</v>
      </c>
      <c r="L148" s="823">
        <v>0.1603</v>
      </c>
      <c r="M148" s="497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499"/>
      <c r="K149" s="778"/>
      <c r="L149" s="823">
        <v>0.1426</v>
      </c>
      <c r="M149" s="1448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499">
        <v>0.1426</v>
      </c>
      <c r="M150" s="1448">
        <v>0.1426</v>
      </c>
      <c r="AS150" s="817"/>
      <c r="AX150" s="817"/>
    </row>
    <row r="154" spans="1:50">
      <c r="A154" s="624" t="s">
        <v>546</v>
      </c>
    </row>
    <row r="156" spans="1:50">
      <c r="A156" s="9" t="s">
        <v>22</v>
      </c>
      <c r="B156" s="625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2028</v>
      </c>
    </row>
    <row r="157" spans="1:50">
      <c r="A157" s="9" t="s">
        <v>521</v>
      </c>
      <c r="B157" s="626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7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7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7">
        <v>750.67</v>
      </c>
      <c r="L158">
        <v>694.52</v>
      </c>
      <c r="M158" s="408">
        <v>683.87</v>
      </c>
    </row>
    <row r="159" spans="1:50">
      <c r="A159" s="9" t="s">
        <v>521</v>
      </c>
      <c r="B159" s="626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7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7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7">
        <v>521.09</v>
      </c>
      <c r="L160">
        <v>586.86</v>
      </c>
      <c r="M160">
        <v>663.81999999999994</v>
      </c>
    </row>
    <row r="161" spans="1:13">
      <c r="A161" s="9" t="s">
        <v>521</v>
      </c>
      <c r="B161" s="626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7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7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7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6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7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7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7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6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7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7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7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6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7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7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7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6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7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7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7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6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7">
        <v>544.1</v>
      </c>
      <c r="L171">
        <v>589.07999999999993</v>
      </c>
      <c r="M171" s="629">
        <v>561.9</v>
      </c>
    </row>
    <row r="172" spans="1:13">
      <c r="A172" s="9" t="s">
        <v>521</v>
      </c>
      <c r="B172" s="627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7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6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7">
        <v>655.47</v>
      </c>
      <c r="L173">
        <v>654.13</v>
      </c>
      <c r="M173" s="408">
        <v>721.68</v>
      </c>
    </row>
    <row r="174" spans="1:13">
      <c r="A174" s="9" t="s">
        <v>521</v>
      </c>
      <c r="B174" s="627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7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6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7">
        <v>559.04</v>
      </c>
      <c r="L175">
        <v>605.22</v>
      </c>
      <c r="M175" s="408">
        <v>641.27</v>
      </c>
    </row>
    <row r="176" spans="1:13">
      <c r="A176" s="9" t="s">
        <v>521</v>
      </c>
      <c r="B176" s="627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7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6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7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7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7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6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7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7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7">
        <v>387.09</v>
      </c>
      <c r="L180">
        <v>395.17</v>
      </c>
      <c r="M180" s="408">
        <v>403.03</v>
      </c>
    </row>
    <row r="181" spans="1:13">
      <c r="A181" s="9" t="s">
        <v>521</v>
      </c>
      <c r="B181" s="626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7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7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7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6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7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7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7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6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7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7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7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6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7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7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7">
        <v>503.84</v>
      </c>
      <c r="L188">
        <v>506.04</v>
      </c>
      <c r="M188" s="408">
        <v>514.01</v>
      </c>
    </row>
    <row r="189" spans="1:13">
      <c r="A189" s="9" t="s">
        <v>521</v>
      </c>
      <c r="B189" s="626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7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7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7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6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7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7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7">
        <v>469.96</v>
      </c>
      <c r="L192">
        <v>496.82</v>
      </c>
      <c r="M192" s="408">
        <v>587.54</v>
      </c>
    </row>
    <row r="193" spans="1:16">
      <c r="A193" s="9" t="s">
        <v>521</v>
      </c>
      <c r="B193" s="626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7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8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7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5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7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5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7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5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7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5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7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5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7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5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7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5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7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5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7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5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7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5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7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5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7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5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7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3" t="s">
        <v>265</v>
      </c>
      <c r="C207" s="232"/>
      <c r="D207" s="232"/>
      <c r="E207" s="232"/>
      <c r="F207" s="232"/>
      <c r="G207" s="232"/>
      <c r="H207" s="232"/>
      <c r="K207" s="777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3" t="s">
        <v>258</v>
      </c>
      <c r="C208" s="232"/>
      <c r="D208" s="232"/>
      <c r="E208" s="232"/>
      <c r="F208" s="232"/>
      <c r="G208" s="232"/>
      <c r="H208" s="232"/>
      <c r="K208" s="777"/>
      <c r="L208">
        <f>357.76+231.81</f>
        <v>589.56999999999994</v>
      </c>
      <c r="M208" s="408">
        <v>677.96999999999991</v>
      </c>
      <c r="O208" s="812" t="s">
        <v>552</v>
      </c>
      <c r="P208" s="813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7">
        <f>397.32+270.9</f>
        <v>668.22</v>
      </c>
      <c r="L209">
        <v>683.67</v>
      </c>
      <c r="M209" s="506">
        <v>714.43999999999994</v>
      </c>
      <c r="N209">
        <v>838.02</v>
      </c>
      <c r="O209" s="812" t="s">
        <v>553</v>
      </c>
      <c r="P209" s="813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7">
        <v>469.78</v>
      </c>
      <c r="L210">
        <v>505.99000000000007</v>
      </c>
      <c r="M210" s="408">
        <v>532.24</v>
      </c>
      <c r="O210" s="812" t="s">
        <v>554</v>
      </c>
      <c r="P210" s="813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2" t="s">
        <v>555</v>
      </c>
      <c r="P211" s="813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7">
        <v>517.61</v>
      </c>
      <c r="L212">
        <v>512.77</v>
      </c>
      <c r="M212" s="408">
        <v>558.81000000000006</v>
      </c>
      <c r="O212" s="812" t="s">
        <v>556</v>
      </c>
      <c r="P212" s="813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7">
        <v>523.02</v>
      </c>
      <c r="L213">
        <v>550.20000000000005</v>
      </c>
      <c r="M213">
        <v>595.66</v>
      </c>
      <c r="N213">
        <v>678.65</v>
      </c>
      <c r="O213" s="812" t="s">
        <v>557</v>
      </c>
      <c r="P213" s="813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7">
        <v>490.18</v>
      </c>
      <c r="L214">
        <v>533.54999999999995</v>
      </c>
      <c r="M214" s="408">
        <v>619.94000000000005</v>
      </c>
      <c r="O214" s="812" t="s">
        <v>558</v>
      </c>
      <c r="P214" s="813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7">
        <f>303.99+243.7</f>
        <v>547.69000000000005</v>
      </c>
      <c r="L215">
        <v>541.15</v>
      </c>
      <c r="M215" s="818">
        <v>564.97</v>
      </c>
      <c r="N215">
        <v>606.77</v>
      </c>
      <c r="O215" s="812" t="s">
        <v>559</v>
      </c>
      <c r="P215" s="813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29">
        <v>487.3</v>
      </c>
      <c r="J216">
        <f>241.74+319.79</f>
        <v>561.53</v>
      </c>
      <c r="K216" s="777">
        <v>525.73</v>
      </c>
      <c r="L216" s="629">
        <v>546.10945347732809</v>
      </c>
      <c r="M216" s="408">
        <v>635.92000000000007</v>
      </c>
      <c r="N216" s="810"/>
      <c r="O216" s="812" t="s">
        <v>560</v>
      </c>
      <c r="P216" s="813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7">
        <v>531.87</v>
      </c>
      <c r="L217" s="629">
        <v>555.04999999999995</v>
      </c>
      <c r="M217" s="408">
        <v>622.58000000000004</v>
      </c>
      <c r="O217" s="812" t="s">
        <v>561</v>
      </c>
      <c r="P217" s="813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7">
        <v>515.59</v>
      </c>
      <c r="L218" s="629">
        <v>534.19000000000005</v>
      </c>
      <c r="M218" s="408">
        <v>594.49</v>
      </c>
      <c r="O218" s="812" t="s">
        <v>562</v>
      </c>
      <c r="P218" s="813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7">
        <v>530.72</v>
      </c>
      <c r="L219" s="629">
        <v>535.51</v>
      </c>
      <c r="M219" s="232">
        <v>580.43681504518099</v>
      </c>
      <c r="N219">
        <v>677.99</v>
      </c>
      <c r="O219" s="812" t="s">
        <v>563</v>
      </c>
      <c r="P219" s="813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7">
        <v>560.27</v>
      </c>
      <c r="L220" s="629">
        <v>589.57000000000005</v>
      </c>
      <c r="M220" s="408">
        <v>643.09</v>
      </c>
      <c r="O220" s="812" t="s">
        <v>564</v>
      </c>
      <c r="P220" s="813" t="e">
        <v>#N/A</v>
      </c>
    </row>
    <row r="221" spans="1:50">
      <c r="A221" t="s">
        <v>27</v>
      </c>
      <c r="B221" s="468" t="s">
        <v>291</v>
      </c>
      <c r="J221">
        <v>547.6</v>
      </c>
      <c r="K221" s="777">
        <v>515.07000000000005</v>
      </c>
      <c r="L221">
        <v>548.96999999999991</v>
      </c>
      <c r="M221" s="408">
        <v>629.70000000000005</v>
      </c>
      <c r="O221" s="812" t="s">
        <v>565</v>
      </c>
      <c r="P221" s="813" t="e">
        <v>#N/A</v>
      </c>
    </row>
    <row r="222" spans="1:50">
      <c r="A222" t="s">
        <v>27</v>
      </c>
      <c r="B222" s="468" t="s">
        <v>545</v>
      </c>
      <c r="K222" s="777"/>
      <c r="L222">
        <v>571.71</v>
      </c>
      <c r="M222" s="408">
        <v>605.55000000000007</v>
      </c>
      <c r="O222" s="812" t="s">
        <v>566</v>
      </c>
      <c r="P222" s="825" t="e">
        <v>#N/A</v>
      </c>
      <c r="AS222" s="817"/>
      <c r="AX222" s="817"/>
    </row>
    <row r="223" spans="1:50">
      <c r="O223" s="812" t="s">
        <v>567</v>
      </c>
      <c r="P223" s="813" t="e">
        <v>#N/A</v>
      </c>
    </row>
    <row r="224" spans="1:50">
      <c r="O224" s="812" t="s">
        <v>568</v>
      </c>
      <c r="P224" s="813" t="e">
        <v>#N/A</v>
      </c>
    </row>
    <row r="225" spans="11:16">
      <c r="K225" s="813">
        <v>547.69000000000005</v>
      </c>
      <c r="O225" s="812" t="s">
        <v>569</v>
      </c>
      <c r="P225" s="813" t="e">
        <v>#N/A</v>
      </c>
    </row>
    <row r="226" spans="11:16">
      <c r="O226" s="812" t="s">
        <v>570</v>
      </c>
      <c r="P226" s="813" t="e">
        <v>#N/A</v>
      </c>
    </row>
    <row r="227" spans="11:16">
      <c r="O227" s="812" t="s">
        <v>571</v>
      </c>
      <c r="P227" s="814" t="e">
        <v>#N/A</v>
      </c>
    </row>
    <row r="228" spans="11:16">
      <c r="O228" s="812" t="s">
        <v>572</v>
      </c>
      <c r="P228" s="814" t="e">
        <v>#N/A</v>
      </c>
    </row>
    <row r="229" spans="11:16">
      <c r="O229" s="812" t="s">
        <v>573</v>
      </c>
      <c r="P229" s="814" t="e">
        <v>#N/A</v>
      </c>
    </row>
    <row r="230" spans="11:16">
      <c r="O230" s="812" t="s">
        <v>574</v>
      </c>
      <c r="P230" s="814" t="e">
        <v>#N/A</v>
      </c>
    </row>
    <row r="231" spans="11:16">
      <c r="O231" s="812" t="s">
        <v>575</v>
      </c>
      <c r="P231" s="814" t="e">
        <v>#N/A</v>
      </c>
    </row>
    <row r="232" spans="11:16">
      <c r="O232" s="812" t="s">
        <v>576</v>
      </c>
      <c r="P232" s="814" t="e">
        <v>#N/A</v>
      </c>
    </row>
    <row r="233" spans="11:16">
      <c r="O233" s="812" t="s">
        <v>577</v>
      </c>
      <c r="P233" s="814" t="e">
        <v>#N/A</v>
      </c>
    </row>
    <row r="234" spans="11:16">
      <c r="O234" s="812" t="s">
        <v>578</v>
      </c>
      <c r="P234" s="814" t="e">
        <v>#N/A</v>
      </c>
    </row>
    <row r="235" spans="11:16">
      <c r="O235" s="812" t="s">
        <v>579</v>
      </c>
      <c r="P235" s="814">
        <v>979.23</v>
      </c>
    </row>
    <row r="236" spans="11:16">
      <c r="O236" s="812" t="s">
        <v>580</v>
      </c>
      <c r="P236" s="814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Normal="100" workbookViewId="0">
      <selection activeCell="G37" sqref="G37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2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1" t="s">
        <v>2158</v>
      </c>
      <c r="C1" s="962"/>
      <c r="D1" s="962"/>
      <c r="M1" s="533"/>
      <c r="BA1" s="472"/>
      <c r="BB1" s="472"/>
      <c r="BC1" s="472"/>
      <c r="BD1" s="472"/>
    </row>
    <row r="2" spans="1:84" ht="25.5">
      <c r="B2" s="534" t="str">
        <f>CAPA!C9</f>
        <v>Cersad</v>
      </c>
      <c r="C2" s="620"/>
      <c r="D2" s="535"/>
      <c r="E2" s="575" t="s">
        <v>581</v>
      </c>
      <c r="F2" s="575"/>
      <c r="G2" s="575"/>
      <c r="H2" s="598" t="s">
        <v>2356</v>
      </c>
      <c r="M2" s="533"/>
      <c r="AK2" s="473"/>
      <c r="AZ2" s="1795" t="s">
        <v>582</v>
      </c>
      <c r="BA2" s="1796"/>
      <c r="BB2" s="1796"/>
      <c r="BC2" s="1796"/>
      <c r="BD2" s="1796"/>
      <c r="BE2" s="1796"/>
      <c r="BF2" s="1796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3"/>
    </row>
    <row r="3" spans="1:84">
      <c r="C3" s="547"/>
      <c r="E3" s="570" t="s">
        <v>2026</v>
      </c>
      <c r="F3" s="570"/>
      <c r="G3" s="570"/>
      <c r="H3" s="523"/>
      <c r="M3" s="533"/>
      <c r="O3" s="376">
        <f>VALUE(RIGHT(P3,2))</f>
        <v>27</v>
      </c>
      <c r="P3" s="963" t="str">
        <f>VLOOKUP($C$9,Informacoes[],4,FALSE)</f>
        <v>C27</v>
      </c>
      <c r="Q3" s="963" t="str">
        <f>VLOOKUP($C$9,Informacoes[],2,FALSE)</f>
        <v xml:space="preserve">Cooperativa de Distribuição de Energia Elétrica Salto Donner 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3"/>
    </row>
    <row r="4" spans="1:84">
      <c r="E4" s="742" t="s">
        <v>2027</v>
      </c>
      <c r="F4" s="742"/>
      <c r="G4" s="742"/>
      <c r="H4" s="767"/>
      <c r="I4" s="536"/>
      <c r="M4" s="533"/>
      <c r="AZ4" s="835"/>
      <c r="BA4" s="964">
        <v>40940</v>
      </c>
      <c r="BB4" s="964" t="s">
        <v>548</v>
      </c>
      <c r="BC4" s="964">
        <v>41306</v>
      </c>
      <c r="BD4" s="964">
        <v>41671</v>
      </c>
      <c r="BE4" s="965">
        <v>42036</v>
      </c>
      <c r="BF4" s="966">
        <v>42401</v>
      </c>
      <c r="BG4" s="966">
        <v>42767</v>
      </c>
      <c r="BI4" s="967"/>
      <c r="BJ4" s="967"/>
      <c r="BK4" s="967"/>
      <c r="BL4" s="967"/>
      <c r="BM4" s="968"/>
      <c r="BN4" s="968"/>
      <c r="BO4" s="968"/>
      <c r="BP4" s="968"/>
      <c r="BQ4" s="968"/>
      <c r="BR4" s="968"/>
      <c r="BS4" s="968"/>
      <c r="BT4" s="968"/>
      <c r="BU4" s="968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2" t="s">
        <v>583</v>
      </c>
      <c r="F5" s="742"/>
      <c r="G5" s="742"/>
      <c r="H5" s="752" t="s">
        <v>2357</v>
      </c>
      <c r="I5" s="536"/>
      <c r="M5" s="533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7"/>
      <c r="I6" s="536"/>
      <c r="N6" s="538"/>
      <c r="O6" s="9"/>
      <c r="P6" s="9" t="s">
        <v>2160</v>
      </c>
      <c r="Q6" s="524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39"/>
      <c r="B7" s="529" t="s">
        <v>584</v>
      </c>
      <c r="C7" s="540"/>
      <c r="D7" s="540"/>
      <c r="E7" s="541"/>
      <c r="F7" s="541"/>
      <c r="G7" s="541"/>
      <c r="H7" s="521"/>
      <c r="I7" s="522"/>
      <c r="J7" s="541"/>
      <c r="K7" s="542"/>
      <c r="L7" s="543"/>
      <c r="M7" s="544"/>
      <c r="N7" s="545"/>
      <c r="O7" s="9"/>
      <c r="P7" s="270">
        <v>238</v>
      </c>
      <c r="Q7" s="750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8"/>
      <c r="O8" s="9"/>
      <c r="P8" s="270"/>
      <c r="Q8" s="750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4" t="s">
        <v>106</v>
      </c>
      <c r="C9" s="969" t="s">
        <v>409</v>
      </c>
      <c r="D9" s="9"/>
      <c r="E9" s="1797" t="s">
        <v>585</v>
      </c>
      <c r="F9" s="1798"/>
      <c r="G9" s="1798"/>
      <c r="H9" s="1798"/>
      <c r="I9" s="589"/>
      <c r="J9" s="480" t="s">
        <v>586</v>
      </c>
      <c r="K9" s="9"/>
      <c r="L9" s="9"/>
      <c r="M9" s="546"/>
      <c r="N9" s="538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0" t="s">
        <v>587</v>
      </c>
      <c r="C10" s="971" t="str">
        <f>IF(C9="Cercos","N/NE","S/SE/CO")</f>
        <v>S/SE/CO</v>
      </c>
      <c r="D10" s="9"/>
      <c r="E10" s="593"/>
      <c r="F10" s="594" t="s">
        <v>588</v>
      </c>
      <c r="G10" s="595">
        <v>44817.602384259262</v>
      </c>
      <c r="H10" s="972"/>
      <c r="I10" s="590"/>
      <c r="J10" s="741" t="s">
        <v>589</v>
      </c>
      <c r="K10" s="973">
        <f>IFERROR(O3+200,0)</f>
        <v>227</v>
      </c>
      <c r="L10" s="581"/>
      <c r="M10" s="546"/>
      <c r="N10" s="538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3"/>
      <c r="F11" s="594" t="s">
        <v>590</v>
      </c>
      <c r="G11" s="595">
        <v>44817.603912037041</v>
      </c>
      <c r="H11" s="591"/>
      <c r="I11" s="592"/>
      <c r="J11" s="570" t="s">
        <v>591</v>
      </c>
      <c r="K11" s="597">
        <v>7883</v>
      </c>
      <c r="L11" s="581"/>
      <c r="M11" s="546"/>
      <c r="N11" s="538"/>
      <c r="O11" s="9"/>
      <c r="Q11" s="524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7"/>
      <c r="B12" s="480" t="s">
        <v>592</v>
      </c>
      <c r="C12" s="9"/>
      <c r="D12" s="9"/>
      <c r="E12" s="593"/>
      <c r="F12" s="594" t="s">
        <v>748</v>
      </c>
      <c r="G12" s="595">
        <v>44817.604085648149</v>
      </c>
      <c r="H12" s="591"/>
      <c r="I12" s="592"/>
      <c r="J12" s="742" t="s">
        <v>593</v>
      </c>
      <c r="K12" s="751">
        <f>IF(idsreag=P7,Q7,idagente)</f>
        <v>7883</v>
      </c>
      <c r="L12" s="581"/>
      <c r="M12" s="546"/>
      <c r="N12" s="538"/>
      <c r="O12" s="9"/>
      <c r="Q12" s="524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7"/>
      <c r="B13" s="584" t="s">
        <v>594</v>
      </c>
      <c r="C13" s="974">
        <f ca="1">YEAR(TODAY())</f>
        <v>2022</v>
      </c>
      <c r="D13" s="261"/>
      <c r="E13" s="593"/>
      <c r="F13" s="594" t="s">
        <v>595</v>
      </c>
      <c r="G13" s="595">
        <v>44817.604467592595</v>
      </c>
      <c r="H13" s="591"/>
      <c r="I13" s="9"/>
      <c r="J13" s="480" t="s">
        <v>596</v>
      </c>
      <c r="K13" s="9"/>
      <c r="L13" s="581"/>
      <c r="M13" s="548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5" t="s">
        <v>597</v>
      </c>
      <c r="C14" s="586">
        <v>44469</v>
      </c>
      <c r="D14" s="261"/>
      <c r="E14" s="593"/>
      <c r="F14" s="594" t="s">
        <v>598</v>
      </c>
      <c r="G14" s="595">
        <v>44817.605162037034</v>
      </c>
      <c r="H14" s="591"/>
      <c r="I14" s="9"/>
      <c r="J14" s="741" t="s">
        <v>599</v>
      </c>
      <c r="K14" s="973">
        <f>VLOOKUP(SAS_RA0_DataFim,Índices!$B$7:$F$500,2,FALSE)</f>
        <v>1185.0039999999999</v>
      </c>
      <c r="L14" s="581"/>
      <c r="M14" s="548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5" t="s">
        <v>600</v>
      </c>
      <c r="C15" s="587">
        <v>44834</v>
      </c>
      <c r="D15" s="261"/>
      <c r="E15" s="593"/>
      <c r="F15" s="594" t="s">
        <v>601</v>
      </c>
      <c r="G15" s="595">
        <v>44817.60665509259</v>
      </c>
      <c r="H15" s="596"/>
      <c r="I15" s="9"/>
      <c r="J15" s="570" t="s">
        <v>602</v>
      </c>
      <c r="K15" s="597">
        <f>VLOOKUP(SAS_RA0_DataFim,Índices!$B$7:$F$500,3,FALSE)</f>
        <v>6388.87</v>
      </c>
      <c r="L15" s="581"/>
      <c r="M15" s="548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5" t="s">
        <v>185</v>
      </c>
      <c r="C16" s="588">
        <f>DATE(YEAR(C14),MONTH(C14),1)</f>
        <v>44440</v>
      </c>
      <c r="D16" s="261"/>
      <c r="E16" s="593"/>
      <c r="F16" s="594" t="s">
        <v>603</v>
      </c>
      <c r="G16" s="595">
        <v>44817.607222222221</v>
      </c>
      <c r="H16" s="975"/>
      <c r="I16" s="9"/>
      <c r="J16" s="570" t="s">
        <v>604</v>
      </c>
      <c r="K16" s="577">
        <f>K14/VLOOKUP(DATE(YEAR(SAS_RA0_DataInicio),MONTH(SAS_RA0_DataInicio)-1,DAY(SAS_RA0_DataInicio)),Índices!$B$7:$F$500,2,FALSE)-1</f>
        <v>8.5874515481677571E-2</v>
      </c>
      <c r="L16" s="581"/>
      <c r="M16" s="548"/>
      <c r="O16" s="9"/>
      <c r="Q16" s="524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5" t="s">
        <v>187</v>
      </c>
      <c r="C17" s="588">
        <f>DATE(YEAR(C15),MONTH(C15)-1,1)</f>
        <v>44774</v>
      </c>
      <c r="D17" s="261"/>
      <c r="E17" s="593"/>
      <c r="F17" s="594" t="s">
        <v>605</v>
      </c>
      <c r="G17" s="595">
        <v>44817.607499999998</v>
      </c>
      <c r="H17" s="9"/>
      <c r="I17" s="370"/>
      <c r="J17" s="570" t="s">
        <v>606</v>
      </c>
      <c r="K17" s="976">
        <f>K15/VLOOKUP(DATE(YEAR(SAS_RA0_DataInicio),MONTH(SAS_RA0_DataInicio)-1,DAY(SAS_RA0_DataInicio)),Índices!$B$7:$F$500,3,FALSE)-1</f>
        <v>8.727291292620043E-2</v>
      </c>
      <c r="L17" s="9"/>
      <c r="M17" s="548"/>
      <c r="O17" s="9"/>
      <c r="Q17" s="524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5" t="s">
        <v>607</v>
      </c>
      <c r="C18" s="811" t="str">
        <f ca="1">C110</f>
        <v>REVISÃO</v>
      </c>
      <c r="D18" s="261"/>
      <c r="E18" s="593"/>
      <c r="F18" s="594" t="s">
        <v>2132</v>
      </c>
      <c r="G18" s="595">
        <v>44817.607592592591</v>
      </c>
      <c r="I18" s="370"/>
      <c r="J18" s="575" t="s">
        <v>608</v>
      </c>
      <c r="K18" s="578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8"/>
      <c r="N18" s="9"/>
      <c r="O18" s="9"/>
      <c r="Q18" s="524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7"/>
      <c r="L19" s="17"/>
      <c r="M19" s="548"/>
      <c r="N19" s="9"/>
      <c r="O19" s="9"/>
      <c r="Q19" s="524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0"/>
      <c r="L20" s="17"/>
      <c r="M20" s="548"/>
      <c r="N20" s="9"/>
      <c r="O20" s="9"/>
      <c r="Q20" s="524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7"/>
      <c r="L21" s="17"/>
      <c r="M21" s="548"/>
      <c r="N21" s="9"/>
      <c r="O21" s="9"/>
      <c r="Q21" s="524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0"/>
      <c r="I22" s="370"/>
      <c r="J22" s="49"/>
      <c r="K22" s="549"/>
      <c r="L22" s="550"/>
      <c r="M22" s="548"/>
      <c r="N22" s="9"/>
      <c r="O22" s="9"/>
      <c r="Q22" s="524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39"/>
      <c r="B23" s="529" t="s">
        <v>609</v>
      </c>
      <c r="C23" s="540"/>
      <c r="D23" s="540"/>
      <c r="E23" s="541"/>
      <c r="F23" s="541"/>
      <c r="G23" s="541"/>
      <c r="H23" s="521"/>
      <c r="I23" s="522"/>
      <c r="J23" s="541"/>
      <c r="K23" s="542"/>
      <c r="L23" s="543"/>
      <c r="M23" s="544"/>
      <c r="N23" s="9"/>
      <c r="O23" s="9"/>
      <c r="Q23" s="524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0"/>
      <c r="I24" s="370"/>
      <c r="J24" s="49"/>
      <c r="K24" s="549"/>
      <c r="L24" s="550"/>
      <c r="M24" s="611"/>
      <c r="N24" s="557"/>
      <c r="O24" s="9"/>
      <c r="Q24" s="524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1"/>
      <c r="F25" s="552"/>
      <c r="G25" s="553"/>
      <c r="L25" s="550"/>
      <c r="M25" s="548"/>
      <c r="N25" s="557"/>
      <c r="O25" s="9"/>
      <c r="Q25" s="524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09" t="s">
        <v>610</v>
      </c>
      <c r="C26" s="580"/>
      <c r="D26" s="977"/>
      <c r="E26" s="978"/>
      <c r="F26" s="979"/>
      <c r="G26" s="980"/>
      <c r="H26" s="977"/>
      <c r="I26" s="977"/>
      <c r="J26" s="977"/>
      <c r="K26" s="981"/>
      <c r="L26" s="982"/>
      <c r="M26" s="548"/>
      <c r="N26" s="557"/>
      <c r="O26" s="9"/>
      <c r="Q26" s="524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0"/>
      <c r="M27" s="548"/>
      <c r="N27" s="557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5" t="s">
        <v>611</v>
      </c>
      <c r="C28" s="1786" t="s">
        <v>2378</v>
      </c>
      <c r="D28" s="1786"/>
      <c r="E28" s="9"/>
      <c r="F28" s="579" t="s">
        <v>612</v>
      </c>
      <c r="G28" s="580"/>
      <c r="H28" s="580"/>
      <c r="I28" s="9"/>
      <c r="J28" s="1690" t="s">
        <v>613</v>
      </c>
      <c r="K28" s="1691"/>
      <c r="L28" s="17"/>
      <c r="M28" s="548"/>
      <c r="N28" s="557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1" t="s">
        <v>614</v>
      </c>
      <c r="G29" s="741"/>
      <c r="H29" s="983">
        <v>0.13389999999999999</v>
      </c>
      <c r="I29" s="9"/>
      <c r="J29" s="1692" t="s">
        <v>615</v>
      </c>
      <c r="K29" s="1693">
        <f>BD!C26</f>
        <v>1850000</v>
      </c>
      <c r="L29" s="17"/>
      <c r="M29" s="548"/>
      <c r="N29" s="557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2" t="s">
        <v>616</v>
      </c>
      <c r="G30" s="742"/>
      <c r="H30" s="984"/>
      <c r="I30" s="9"/>
      <c r="J30" s="1694" t="s">
        <v>617</v>
      </c>
      <c r="K30" s="1695" cm="1">
        <f t="array" ref="K30">IFERROR(limiteParcelaB[Limite_PB]*(1+K18),0)</f>
        <v>2899713.9747444582</v>
      </c>
      <c r="L30" s="17"/>
      <c r="M30" s="548"/>
      <c r="O30" s="557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91" t="s">
        <v>618</v>
      </c>
      <c r="C31" s="1791"/>
      <c r="D31" s="772"/>
      <c r="E31" s="9"/>
      <c r="F31" s="985"/>
      <c r="G31" s="985"/>
      <c r="H31" s="986"/>
      <c r="I31" s="9"/>
      <c r="J31" s="1696" t="s">
        <v>619</v>
      </c>
      <c r="K31" s="1697">
        <f>D32+D33+D34</f>
        <v>2400000</v>
      </c>
      <c r="L31" s="1704" t="s">
        <v>620</v>
      </c>
      <c r="M31" s="1704" t="s">
        <v>2279</v>
      </c>
      <c r="O31" s="557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7" t="s">
        <v>621</v>
      </c>
      <c r="C32" s="987"/>
      <c r="D32" s="781">
        <v>1980000</v>
      </c>
      <c r="E32" s="9"/>
      <c r="F32" s="988" t="s">
        <v>622</v>
      </c>
      <c r="G32" s="989"/>
      <c r="H32" s="989"/>
      <c r="I32" s="9"/>
      <c r="J32" s="1692" t="s">
        <v>623</v>
      </c>
      <c r="K32" s="1698" cm="1">
        <f t="array" aca="1" ref="K32" ca="1">subvencao[Subvencao Anual]*(VLOOKUP(DATE(AnoRefTar,MONTH(M32)-1,1),Índices!B6:F500,3,FALSE)/VLOOKUP(DATE(YEAR(M32),MONTH(L32)-1,1),Índices!B6:F500,3,FALSE))</f>
        <v>1242268.5927623026</v>
      </c>
      <c r="L32" s="1703" cm="1">
        <f t="array" ref="L32">subvencao[Data_Referencia Subvencao]</f>
        <v>44430</v>
      </c>
      <c r="M32" s="1703" cm="1">
        <f t="array" ref="M32">subvencao[Data_aniversario supridora]</f>
        <v>44430</v>
      </c>
      <c r="O32" s="557"/>
      <c r="Q32" s="524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7" t="s">
        <v>624</v>
      </c>
      <c r="C33" s="987"/>
      <c r="D33" s="782">
        <v>420000</v>
      </c>
      <c r="E33" s="9"/>
      <c r="F33" s="570" t="s">
        <v>625</v>
      </c>
      <c r="G33" s="570"/>
      <c r="H33" s="486"/>
      <c r="I33" s="9"/>
      <c r="J33" s="1696" t="s">
        <v>626</v>
      </c>
      <c r="K33" s="1699">
        <f ca="1">LnkTXTISubvencaoPB/12</f>
        <v>103522.38273019188</v>
      </c>
      <c r="L33" s="17"/>
      <c r="M33" s="533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0"/>
      <c r="C34" s="990"/>
      <c r="D34" s="991"/>
      <c r="E34" s="9"/>
      <c r="F34" s="742" t="s">
        <v>627</v>
      </c>
      <c r="G34" s="742"/>
      <c r="H34" s="992"/>
      <c r="I34" s="9"/>
      <c r="J34" s="1692" t="s">
        <v>628</v>
      </c>
      <c r="K34" s="1700">
        <f>LinkTXTPR</f>
        <v>7.35304189857615E-2</v>
      </c>
      <c r="L34" s="17"/>
      <c r="M34" s="548"/>
      <c r="O34" s="9"/>
      <c r="Q34" s="524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3"/>
      <c r="E35" s="9"/>
      <c r="F35" s="582"/>
      <c r="G35" s="994"/>
      <c r="H35" s="463"/>
      <c r="I35" s="9"/>
      <c r="J35" s="1694" t="s">
        <v>629</v>
      </c>
      <c r="K35" s="1701">
        <f ca="1">IFERROR(Energia!M20/((Energia!M5+Energia!M6-Energia!M7+Energia!N16)+Energia!M20),0)</f>
        <v>0.11911137337696159</v>
      </c>
      <c r="L35" s="17"/>
      <c r="M35" s="548"/>
      <c r="O35" s="9"/>
      <c r="Q35" s="524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4"/>
      <c r="D36" s="783"/>
      <c r="E36" s="9"/>
      <c r="F36" s="686" t="s">
        <v>634</v>
      </c>
      <c r="G36" s="687"/>
      <c r="H36" s="463"/>
      <c r="I36" s="9"/>
      <c r="J36" s="1696" t="s">
        <v>630</v>
      </c>
      <c r="K36" s="1702">
        <f ca="1">IFERROR(LNKTXTPercperdas,0)</f>
        <v>0.11911137337696159</v>
      </c>
      <c r="L36" s="17"/>
      <c r="M36" s="548"/>
      <c r="O36" s="9"/>
      <c r="Q36" s="524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3"/>
      <c r="E37" s="9"/>
      <c r="F37" s="686" t="s">
        <v>636</v>
      </c>
      <c r="G37" s="688">
        <v>573.02</v>
      </c>
      <c r="H37" s="463"/>
      <c r="I37" s="9"/>
      <c r="J37" s="270"/>
      <c r="K37" s="463"/>
      <c r="L37" s="756"/>
      <c r="M37" s="556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39"/>
      <c r="B38" s="529" t="s">
        <v>631</v>
      </c>
      <c r="C38" s="540"/>
      <c r="D38" s="540"/>
      <c r="E38" s="541"/>
      <c r="F38" s="541"/>
      <c r="G38" s="541"/>
      <c r="H38" s="521"/>
      <c r="I38" s="522"/>
      <c r="J38" s="541"/>
      <c r="K38" s="542"/>
      <c r="L38" s="543"/>
      <c r="M38" s="544"/>
      <c r="O38" s="9"/>
      <c r="Q38" s="524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07"/>
      <c r="G39" s="1807"/>
      <c r="H39" s="1559"/>
      <c r="L39" s="550"/>
      <c r="M39" s="533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4" t="str">
        <f ca="1">"Variação processo anterior e "&amp;AnoRevRea</f>
        <v>Variação processo anterior e 2022</v>
      </c>
      <c r="H40" s="784"/>
      <c r="I40" s="9"/>
      <c r="L40" s="550"/>
      <c r="M40" s="533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5" t="s">
        <v>632</v>
      </c>
      <c r="C41" s="576"/>
      <c r="D41" s="995">
        <f>BD!C5</f>
        <v>9791.4279999999999</v>
      </c>
      <c r="E41" s="9"/>
      <c r="G41" s="575" t="s">
        <v>632</v>
      </c>
      <c r="H41" s="996">
        <f ca="1">IFERROR(Calc_Mercado!J15,0)</f>
        <v>-3.384817822282904E-2</v>
      </c>
      <c r="I41" s="9"/>
      <c r="L41" s="550"/>
      <c r="M41" s="533"/>
      <c r="O41" s="9"/>
      <c r="Q41" s="524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0" t="s">
        <v>40</v>
      </c>
      <c r="C42" s="570"/>
      <c r="D42" s="369">
        <f>IFERROR(VLOOKUP("TFSEE",BD!$B$7:$C$16,2,FALSE),0)</f>
        <v>8037.3679947307901</v>
      </c>
      <c r="E42" s="9"/>
      <c r="G42" s="570" t="s">
        <v>40</v>
      </c>
      <c r="H42" s="996">
        <f ca="1">LnkTxtVarTFSEE</f>
        <v>0.25051491736081766</v>
      </c>
      <c r="I42" s="9"/>
      <c r="L42" s="550"/>
      <c r="M42" s="533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0" t="s">
        <v>41</v>
      </c>
      <c r="C43" s="570"/>
      <c r="D43" s="369">
        <f>IFERROR(VLOOKUP("CDE",BD!$B$7:$C$16,2,FALSE),0)</f>
        <v>548452.22745999997</v>
      </c>
      <c r="E43" s="9"/>
      <c r="G43" s="570" t="s">
        <v>41</v>
      </c>
      <c r="H43" s="577">
        <f ca="1">LnkTxtVarCDE</f>
        <v>0.19048099226946458</v>
      </c>
      <c r="I43" s="9"/>
      <c r="L43" s="550"/>
      <c r="M43" s="533"/>
      <c r="O43" s="9"/>
      <c r="Q43" s="524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0" t="s">
        <v>112</v>
      </c>
      <c r="C44" s="570"/>
      <c r="D44" s="369">
        <f>IFERROR(VLOOKUP("CFURH",BD!$B$7:$C$16,2,FALSE),0)</f>
        <v>0</v>
      </c>
      <c r="E44" s="9"/>
      <c r="G44" s="570" t="s">
        <v>112</v>
      </c>
      <c r="H44" s="463" t="str">
        <f>Resultado!F19</f>
        <v>-</v>
      </c>
      <c r="I44" s="9"/>
      <c r="L44" s="550"/>
      <c r="M44" s="533"/>
      <c r="N44" s="559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0" t="s">
        <v>46</v>
      </c>
      <c r="C45" s="570"/>
      <c r="D45" s="369">
        <f>IFERROR(VLOOKUP("ESS/ERR",BD!$B$7:$C$16,2,FALSE),0)</f>
        <v>48696.035253333299</v>
      </c>
      <c r="E45" s="9"/>
      <c r="G45" s="570" t="s">
        <v>46</v>
      </c>
      <c r="H45" s="463">
        <f ca="1">Resultado!F20</f>
        <v>4.471792237032437</v>
      </c>
      <c r="I45" s="371"/>
      <c r="L45" s="550"/>
      <c r="M45" s="558"/>
      <c r="N45" s="559"/>
      <c r="O45" s="9"/>
      <c r="Q45" s="524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0" t="s">
        <v>47</v>
      </c>
      <c r="C46" s="570"/>
      <c r="D46" s="369">
        <f>IFERROR(VLOOKUP("PROINFA",BD!$B$7:$C$16,2,FALSE),0)</f>
        <v>91196.65668</v>
      </c>
      <c r="E46" s="9"/>
      <c r="G46" s="570" t="s">
        <v>47</v>
      </c>
      <c r="H46" s="577">
        <f ca="1">Resultado!F21</f>
        <v>0.51659895833270664</v>
      </c>
      <c r="I46" s="394"/>
      <c r="L46" s="550"/>
      <c r="M46" s="560"/>
      <c r="N46" s="559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0" t="s">
        <v>2036</v>
      </c>
      <c r="C47" s="570"/>
      <c r="D47" s="369">
        <f>IFERROR(VLOOKUP("CDE Covid TUSD",BD!$B$7:$C$16,2,FALSE),0)</f>
        <v>0</v>
      </c>
      <c r="E47" s="9"/>
      <c r="G47" s="570" t="s">
        <v>48</v>
      </c>
      <c r="H47" s="463" t="str">
        <f ca="1">Resultado!F22</f>
        <v>-</v>
      </c>
      <c r="I47" s="394"/>
      <c r="L47" s="550"/>
      <c r="M47" s="560"/>
      <c r="N47" s="559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0" t="s">
        <v>49</v>
      </c>
      <c r="C48" s="570"/>
      <c r="D48" s="369">
        <f>IFERROR(VLOOKUP("ONS",BD!$B$7:$C$16,2,FALSE),0)</f>
        <v>0</v>
      </c>
      <c r="E48" s="9"/>
      <c r="G48" s="570" t="s">
        <v>49</v>
      </c>
      <c r="H48" s="463" t="str">
        <f ca="1">Resultado!F23</f>
        <v>-</v>
      </c>
      <c r="I48" s="394"/>
      <c r="L48" s="550"/>
      <c r="M48" s="560"/>
      <c r="N48" s="559"/>
      <c r="O48" s="9"/>
      <c r="Q48" s="524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1" t="s">
        <v>635</v>
      </c>
      <c r="C49" s="741"/>
      <c r="D49" s="997">
        <f>BD!C18</f>
        <v>0</v>
      </c>
      <c r="E49" s="9"/>
      <c r="G49" s="741" t="s">
        <v>635</v>
      </c>
      <c r="H49" s="996"/>
      <c r="I49" s="394"/>
      <c r="L49" s="550"/>
      <c r="M49" s="560"/>
      <c r="N49" s="559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0" t="s">
        <v>637</v>
      </c>
      <c r="C50" s="570"/>
      <c r="D50" s="369">
        <f>BD!C19</f>
        <v>0</v>
      </c>
      <c r="E50" s="9"/>
      <c r="G50" s="570" t="s">
        <v>637</v>
      </c>
      <c r="H50" s="577"/>
      <c r="I50" s="394"/>
      <c r="L50" s="550"/>
      <c r="M50" s="560"/>
      <c r="N50" s="559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2" t="s">
        <v>638</v>
      </c>
      <c r="C51" s="742"/>
      <c r="D51" s="998"/>
      <c r="E51" s="9"/>
      <c r="G51" s="742" t="s">
        <v>638</v>
      </c>
      <c r="H51" s="577"/>
      <c r="I51" s="9"/>
      <c r="L51" s="550"/>
      <c r="M51" s="560"/>
      <c r="N51" s="559"/>
      <c r="O51" s="9"/>
      <c r="Q51" s="524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5" t="s">
        <v>639</v>
      </c>
      <c r="C52" s="575"/>
      <c r="D52" s="999">
        <f>BD!C25</f>
        <v>753335.76886149996</v>
      </c>
      <c r="E52" s="9"/>
      <c r="G52" s="575" t="s">
        <v>639</v>
      </c>
      <c r="H52" s="578">
        <f ca="1">Resultado!F32</f>
        <v>-2.2096409362234448E-2</v>
      </c>
      <c r="I52" s="9"/>
      <c r="L52" s="550"/>
      <c r="M52" s="560"/>
      <c r="N52" s="559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5" t="s">
        <v>640</v>
      </c>
      <c r="C53" s="575"/>
      <c r="D53" s="999">
        <f>BD!C26</f>
        <v>1850000</v>
      </c>
      <c r="E53" s="9"/>
      <c r="F53" s="9"/>
      <c r="G53" s="9"/>
      <c r="H53" s="9"/>
      <c r="I53" s="9"/>
      <c r="J53" s="9"/>
      <c r="K53" s="9"/>
      <c r="L53" s="550"/>
      <c r="M53" s="560"/>
      <c r="N53" s="559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0"/>
      <c r="E54" s="9"/>
      <c r="F54" s="9"/>
      <c r="G54" s="9"/>
      <c r="H54" s="9"/>
      <c r="I54" s="9"/>
      <c r="J54" s="9"/>
      <c r="K54" s="9"/>
      <c r="L54" s="550"/>
      <c r="M54" s="560"/>
      <c r="N54" s="559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39"/>
      <c r="B55" s="529" t="s">
        <v>641</v>
      </c>
      <c r="C55" s="540"/>
      <c r="D55" s="540"/>
      <c r="E55" s="541"/>
      <c r="F55" s="541"/>
      <c r="G55" s="541"/>
      <c r="H55" s="521"/>
      <c r="I55" s="522"/>
      <c r="J55" s="541"/>
      <c r="K55" s="542"/>
      <c r="L55" s="543"/>
      <c r="M55" s="544"/>
      <c r="N55" s="559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4"/>
      <c r="E56" s="49"/>
      <c r="F56" s="49"/>
      <c r="G56" s="49"/>
      <c r="H56" s="520"/>
      <c r="I56" s="370"/>
      <c r="J56" s="49"/>
      <c r="K56" s="549"/>
      <c r="L56" s="550"/>
      <c r="M56" s="546"/>
      <c r="N56" s="559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0"/>
      <c r="E57" s="573"/>
      <c r="F57" s="574" t="s">
        <v>642</v>
      </c>
      <c r="G57" s="49"/>
      <c r="H57" s="520"/>
      <c r="I57" s="370"/>
      <c r="J57" s="49"/>
      <c r="K57" s="549"/>
      <c r="L57" s="550"/>
      <c r="M57" s="546"/>
      <c r="N57" s="562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1" t="s">
        <v>215</v>
      </c>
      <c r="C58" s="1002"/>
      <c r="D58" s="768"/>
      <c r="E58" s="1794">
        <v>0</v>
      </c>
      <c r="F58" s="1794"/>
      <c r="G58" s="376"/>
      <c r="L58" s="757"/>
      <c r="M58" s="561"/>
      <c r="N58" s="564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3"/>
      <c r="L59" s="550"/>
      <c r="N59" s="567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5"/>
      <c r="B60" s="529" t="s">
        <v>643</v>
      </c>
      <c r="C60" s="540"/>
      <c r="D60" s="541"/>
      <c r="E60" s="541"/>
      <c r="F60" s="541"/>
      <c r="G60" s="521"/>
      <c r="H60" s="522"/>
      <c r="I60" s="541"/>
      <c r="J60" s="542"/>
      <c r="K60" s="543"/>
      <c r="L60" s="758"/>
      <c r="M60" s="566"/>
      <c r="N60" s="567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8" t="s">
        <v>644</v>
      </c>
      <c r="C61" s="568"/>
      <c r="D61" s="568" t="s">
        <v>645</v>
      </c>
      <c r="L61" s="550"/>
      <c r="M61" s="737"/>
      <c r="N61" s="467"/>
      <c r="O61" s="567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4" t="s">
        <v>646</v>
      </c>
      <c r="C62" s="715" t="s">
        <v>647</v>
      </c>
      <c r="D62" s="715" t="s">
        <v>192</v>
      </c>
      <c r="E62" s="1787" t="s">
        <v>648</v>
      </c>
      <c r="F62" s="1788"/>
      <c r="G62" s="715" t="s">
        <v>649</v>
      </c>
      <c r="H62" s="716" t="s">
        <v>650</v>
      </c>
      <c r="I62" s="9"/>
      <c r="J62" s="9"/>
      <c r="K62" s="9"/>
      <c r="L62" s="17"/>
      <c r="M62" s="555"/>
      <c r="N62" s="467"/>
      <c r="O62" s="567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0">
        <f>Indexador!B34</f>
        <v>44348</v>
      </c>
      <c r="C63" s="726"/>
      <c r="D63" s="726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801"/>
      <c r="F63" s="1802"/>
      <c r="G63" s="726"/>
      <c r="H63" s="727"/>
      <c r="I63" s="9" t="s">
        <v>651</v>
      </c>
      <c r="J63" s="472"/>
      <c r="K63" s="9"/>
      <c r="L63" s="17"/>
      <c r="M63" s="555"/>
      <c r="N63" s="467"/>
      <c r="O63" s="567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1">
        <f>Indexador!B35</f>
        <v>44378</v>
      </c>
      <c r="C64" s="732"/>
      <c r="D64" s="732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803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804"/>
      <c r="G64" s="732"/>
      <c r="H64" s="718">
        <f>SUMIF(BD!$A$41:$A$57,B64,BD!$C$41:$C$57)</f>
        <v>0</v>
      </c>
      <c r="I64" s="9" t="s">
        <v>652</v>
      </c>
      <c r="J64" s="572"/>
      <c r="K64" s="9"/>
      <c r="L64" s="17"/>
      <c r="M64" s="555"/>
      <c r="N64" s="467"/>
      <c r="O64" s="567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7">
        <f>Indexador!B36</f>
        <v>44409</v>
      </c>
      <c r="C65" s="733"/>
      <c r="D65" s="733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805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806"/>
      <c r="G65" s="733">
        <f>IFERROR(VLOOKUP(B65,transmissorapiscofins[#All],2,FALSE),0)</f>
        <v>0</v>
      </c>
      <c r="H65" s="740">
        <f>SUMIF(BD!$A$41:$A$57,B65,BD!$C$41:$C$57)</f>
        <v>0</v>
      </c>
      <c r="I65" s="9"/>
      <c r="J65" s="572"/>
      <c r="K65" s="9"/>
      <c r="L65" s="17"/>
      <c r="M65" s="555"/>
      <c r="N65" s="467"/>
      <c r="O65" s="567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2">
        <f>Indexador!B37</f>
        <v>44440</v>
      </c>
      <c r="C66" s="734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1064.51</v>
      </c>
      <c r="D66" s="735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9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800"/>
      <c r="G66" s="735">
        <f>IFERROR(VLOOKUP(B66,transmissorapiscofins[#All],2,FALSE),0)</f>
        <v>0</v>
      </c>
      <c r="H66" s="718"/>
      <c r="I66" s="9"/>
      <c r="J66" s="9"/>
      <c r="K66" s="9"/>
      <c r="L66" s="17"/>
      <c r="M66" s="555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2">
        <f>Indexador!B38</f>
        <v>44470</v>
      </c>
      <c r="C67" s="734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6554.88</v>
      </c>
      <c r="D67" s="734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0"/>
      <c r="G67" s="734">
        <f>IFERROR(VLOOKUP(B67,transmissorapiscofins[#All],2,FALSE),0)</f>
        <v>0</v>
      </c>
      <c r="H67" s="718"/>
      <c r="I67" s="9"/>
      <c r="J67" s="9"/>
      <c r="K67" s="9"/>
      <c r="L67" s="17"/>
      <c r="M67" s="555"/>
      <c r="N67" s="739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2">
        <f>Indexador!B39</f>
        <v>44501</v>
      </c>
      <c r="C68" s="734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12389.75</v>
      </c>
      <c r="D68" s="734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0"/>
      <c r="G68" s="734">
        <f>IFERROR(VLOOKUP(B68,transmissorapiscofins[#All],2,FALSE),0)</f>
        <v>0</v>
      </c>
      <c r="H68" s="718"/>
      <c r="I68" s="9"/>
      <c r="J68" s="9"/>
      <c r="K68" s="9"/>
      <c r="L68" s="17"/>
      <c r="M68" s="555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2">
        <f>Indexador!B40</f>
        <v>44531</v>
      </c>
      <c r="C69" s="734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12756.52</v>
      </c>
      <c r="D69" s="734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0"/>
      <c r="G69" s="734">
        <f>IFERROR(VLOOKUP(B69,transmissorapiscofins[#All],2,FALSE),0)</f>
        <v>0</v>
      </c>
      <c r="H69" s="718"/>
      <c r="I69" s="9"/>
      <c r="J69" s="9"/>
      <c r="K69" s="9"/>
      <c r="L69" s="17"/>
      <c r="M69" s="555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2">
        <f>Indexador!B41</f>
        <v>44562</v>
      </c>
      <c r="C70" s="734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11766.69</v>
      </c>
      <c r="D70" s="734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0"/>
      <c r="G70" s="734">
        <f>IFERROR(VLOOKUP(B70,transmissorapiscofins[#All],2,FALSE),0)</f>
        <v>0</v>
      </c>
      <c r="H70" s="718"/>
      <c r="I70" s="9"/>
      <c r="J70" s="9"/>
      <c r="K70" s="9"/>
      <c r="L70" s="17"/>
      <c r="M70" s="555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2">
        <f>Indexador!B42</f>
        <v>44593</v>
      </c>
      <c r="C71" s="734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2808.49</v>
      </c>
      <c r="D71" s="734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-15097.09</v>
      </c>
      <c r="F71" s="1790"/>
      <c r="G71" s="734">
        <f>IFERROR(VLOOKUP(B71,transmissorapiscofins[#All],2,FALSE),0)</f>
        <v>0</v>
      </c>
      <c r="H71" s="718"/>
      <c r="I71" s="9"/>
      <c r="J71" s="9"/>
      <c r="K71" s="9"/>
      <c r="L71" s="17"/>
      <c r="M71" s="555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2">
        <f>Indexador!B43</f>
        <v>44621</v>
      </c>
      <c r="C72" s="734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2010.4</v>
      </c>
      <c r="D72" s="734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0"/>
      <c r="G72" s="734">
        <f>IFERROR(VLOOKUP(B72,transmissorapiscofins[#All],2,FALSE),0)</f>
        <v>0</v>
      </c>
      <c r="H72" s="718"/>
      <c r="J72" s="474" t="s">
        <v>653</v>
      </c>
      <c r="K72" s="474" t="s">
        <v>654</v>
      </c>
      <c r="L72" s="589" t="s">
        <v>654</v>
      </c>
      <c r="M72" s="589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2">
        <f>Indexador!B44</f>
        <v>44652</v>
      </c>
      <c r="C73" s="734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2034.04</v>
      </c>
      <c r="D73" s="734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0"/>
      <c r="G73" s="734">
        <f>IFERROR(VLOOKUP(B73,transmissorapiscofins[#All],2,FALSE),0)</f>
        <v>0</v>
      </c>
      <c r="H73" s="718"/>
      <c r="J73" s="1003" t="str">
        <f ca="1">IFERROR(VLOOKUP(TRUE,BD!D41:F56,3,FALSE),"todos os meses")</f>
        <v>todos os meses</v>
      </c>
      <c r="K73" s="1004" t="s">
        <v>656</v>
      </c>
      <c r="L73" s="1005">
        <f ca="1">IF(Energia!F24*2/3=0,0.0000001,Energia!F24*2/3)</f>
        <v>1163016.6477035398</v>
      </c>
      <c r="M73" s="1006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2">
        <f>Indexador!B45</f>
        <v>44682</v>
      </c>
      <c r="C74" s="734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759.39</v>
      </c>
      <c r="D74" s="734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0"/>
      <c r="G74" s="734">
        <f>IFERROR(VLOOKUP(B74,transmissorapiscofins[#All],2,FALSE),0)</f>
        <v>0</v>
      </c>
      <c r="H74" s="718"/>
      <c r="I74" s="9"/>
      <c r="J74" s="9"/>
      <c r="K74" s="9"/>
      <c r="L74" s="17"/>
      <c r="M74" s="555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2">
        <f>Indexador!B46</f>
        <v>44713</v>
      </c>
      <c r="C75" s="734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1214.98</v>
      </c>
      <c r="D75" s="734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-3623.43</v>
      </c>
      <c r="F75" s="1790"/>
      <c r="G75" s="734">
        <f>IFERROR(VLOOKUP(B75,transmissorapiscofins[#All],2,FALSE),0)</f>
        <v>0</v>
      </c>
      <c r="H75" s="718"/>
      <c r="I75" s="9"/>
      <c r="J75" s="9"/>
      <c r="K75" s="9"/>
      <c r="L75" s="17"/>
      <c r="M75" s="555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2">
        <f>Indexador!B47</f>
        <v>44743</v>
      </c>
      <c r="C76" s="734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2342.19</v>
      </c>
      <c r="D76" s="734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0"/>
      <c r="G76" s="734">
        <f>IFERROR(VLOOKUP(B76,transmissorapiscofins[#All],2,FALSE),0)</f>
        <v>0</v>
      </c>
      <c r="H76" s="718"/>
      <c r="I76" s="9"/>
      <c r="J76" s="9"/>
      <c r="K76" s="9"/>
      <c r="L76" s="17"/>
      <c r="M76" s="555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3">
        <f>Indexador!B48</f>
        <v>44774</v>
      </c>
      <c r="C77" s="736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3068.6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2">
        <f>IF($C$113="Não",SUMIFS(Faturas!H:H,Faturas!A:A,$K$12,Faturas!G:G,"DICFIC",Faturas!F:F,YEAR(CAPA!B77)*100+MONTH(CAPA!B77)),IF(B77&lt;$C$114,0,SUMIFS(Faturas!H:H,Faturas!A:A,$K$12,Faturas!G:G,"DICFIC",Faturas!F:F,YEAR(CAPA!B77)*100+MONTH(CAPA!B77))))</f>
        <v>-472.84</v>
      </c>
      <c r="F77" s="1793"/>
      <c r="G77" s="834">
        <f>IFERROR(VLOOKUP(B77,transmissorapiscofins[#All],2,FALSE),0)</f>
        <v>0</v>
      </c>
      <c r="H77" s="826"/>
      <c r="I77" s="571">
        <f>SUM(D65:D76)+D76</f>
        <v>0</v>
      </c>
      <c r="J77" s="9"/>
      <c r="K77" s="9"/>
      <c r="L77" s="17"/>
      <c r="M77" s="555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1"/>
      <c r="K78" s="9"/>
      <c r="L78" s="17"/>
      <c r="M78" s="533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7"/>
      <c r="G79" s="518"/>
      <c r="H79" s="519"/>
      <c r="I79" s="513"/>
      <c r="J79" s="513"/>
      <c r="K79" s="514"/>
      <c r="L79" s="759"/>
      <c r="M79" s="738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5"/>
      <c r="B80" s="529" t="s">
        <v>657</v>
      </c>
      <c r="C80" s="540"/>
      <c r="D80" s="541"/>
      <c r="E80" s="541"/>
      <c r="F80" s="541"/>
      <c r="G80" s="521"/>
      <c r="H80" s="522"/>
      <c r="I80" s="541"/>
      <c r="J80" s="542"/>
      <c r="K80" s="543"/>
      <c r="L80" s="758"/>
      <c r="M80" s="566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0"/>
      <c r="M81" s="533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5"/>
      <c r="C82" s="1007"/>
      <c r="D82" s="1008"/>
      <c r="E82" s="1008"/>
      <c r="F82" s="1008"/>
      <c r="H82" s="554"/>
      <c r="L82" s="550"/>
      <c r="M82" s="533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1"/>
      <c r="C83" s="1009"/>
      <c r="D83" s="1010"/>
      <c r="E83" s="1010"/>
      <c r="F83" s="1010"/>
      <c r="G83" s="376"/>
      <c r="H83" s="554"/>
      <c r="I83" s="753"/>
      <c r="L83" s="550"/>
      <c r="M83" s="533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0"/>
      <c r="C84" s="600"/>
      <c r="D84" s="525"/>
      <c r="E84" s="525"/>
      <c r="F84" s="525"/>
      <c r="G84" s="376"/>
      <c r="H84" s="554"/>
      <c r="L84" s="550"/>
      <c r="M84" s="533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1"/>
      <c r="C85" s="1011"/>
      <c r="D85" s="1012"/>
      <c r="E85" s="1012"/>
      <c r="F85" s="1012"/>
      <c r="G85" s="376"/>
      <c r="H85" s="554"/>
      <c r="L85" s="550"/>
      <c r="M85" s="533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0"/>
      <c r="C86" s="630"/>
      <c r="D86" s="631"/>
      <c r="E86" s="631"/>
      <c r="F86" s="631"/>
      <c r="G86" s="376"/>
      <c r="H86" s="554"/>
      <c r="L86" s="550"/>
      <c r="M86" s="533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2"/>
      <c r="C87" s="1013"/>
      <c r="D87" s="1014"/>
      <c r="E87" s="1014"/>
      <c r="F87" s="1014"/>
      <c r="G87" s="376"/>
      <c r="H87" s="554"/>
      <c r="L87" s="550"/>
      <c r="M87" s="533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0" t="s">
        <v>658</v>
      </c>
      <c r="C88" s="602" t="str">
        <f>VLOOKUP(LnkTXTSigla,Informacoes[],7,FALSE)</f>
        <v>09/2018</v>
      </c>
      <c r="D88" s="526"/>
      <c r="E88" s="526"/>
      <c r="F88" s="526"/>
      <c r="G88" s="376"/>
      <c r="H88" s="554"/>
      <c r="L88" s="550"/>
      <c r="M88" s="533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0" t="s">
        <v>659</v>
      </c>
      <c r="C89" s="602" t="str">
        <f>VLOOKUP(LnkTXTSigla,Informacoes[],8,FALSE)</f>
        <v>1º de novembro de 2018</v>
      </c>
      <c r="D89" s="603"/>
      <c r="E89" s="526"/>
      <c r="F89" s="525"/>
      <c r="H89" s="554"/>
      <c r="L89" s="550"/>
      <c r="M89" s="533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0" t="s">
        <v>660</v>
      </c>
      <c r="C90" s="604" t="str">
        <f>Q3</f>
        <v xml:space="preserve">Cooperativa de Distribuição de Energia Elétrica Salto Donner </v>
      </c>
      <c r="D90" s="526"/>
      <c r="E90" s="526"/>
      <c r="F90" s="526"/>
      <c r="H90" s="554"/>
      <c r="L90" s="550"/>
      <c r="M90" s="533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0" t="s">
        <v>661</v>
      </c>
      <c r="C91" s="604" t="str">
        <f>C9</f>
        <v>Cersad</v>
      </c>
      <c r="D91" s="526"/>
      <c r="E91" s="527"/>
      <c r="F91" s="526"/>
      <c r="H91" s="753"/>
      <c r="L91" s="550"/>
      <c r="M91" s="533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0" t="s">
        <v>662</v>
      </c>
      <c r="C92" s="602" t="str">
        <f>D92&amp;" - "&amp;E92</f>
        <v>Doutor Pedrinho - SC</v>
      </c>
      <c r="D92" s="528" t="str">
        <f>VLOOKUP(LnkTXTSigla,Informacoes[],5,FALSE)</f>
        <v>Doutor Pedrinho</v>
      </c>
      <c r="E92" s="528" t="str">
        <f>VLOOKUP(LnkTXTSigla,Informacoes[],6,FALSE)</f>
        <v>SC</v>
      </c>
      <c r="F92" s="526"/>
      <c r="L92" s="550"/>
      <c r="M92" s="533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0" t="s">
        <v>663</v>
      </c>
      <c r="C93" s="605"/>
      <c r="D93" s="526"/>
      <c r="E93" s="526"/>
      <c r="F93" s="526"/>
      <c r="L93" s="550"/>
      <c r="M93" s="533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0" t="s">
        <v>664</v>
      </c>
      <c r="C94" s="604">
        <f>DataRevRea</f>
        <v>44834</v>
      </c>
      <c r="D94" s="526"/>
      <c r="E94" s="526">
        <f>DATE(YEAR(DataRevRea)+1,MONTH(DataRevRea)-1,1)</f>
        <v>45139</v>
      </c>
      <c r="F94" s="526"/>
      <c r="L94" s="550"/>
      <c r="M94" s="533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0" t="s">
        <v>665</v>
      </c>
      <c r="C95" s="606" t="str">
        <f>TEXT(E95,"mmmm")&amp;" de "&amp;TEXT(E95,"aaaa")&amp; " a "&amp;TEXT(E94,"mmmm")&amp;" de "&amp;TEXT(E94,"aaaa")</f>
        <v>setembro de 2022 a agosto de 2023</v>
      </c>
      <c r="D95" s="526"/>
      <c r="E95" s="526">
        <f>DATE(YEAR(DataRevRea),MONTH(DataRevRea),DAY(DataRevRea))</f>
        <v>44834</v>
      </c>
      <c r="F95" s="526"/>
      <c r="L95" s="550"/>
      <c r="M95" s="533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0" t="s">
        <v>666</v>
      </c>
      <c r="C96" s="605">
        <f>C94</f>
        <v>44834</v>
      </c>
      <c r="D96" s="607"/>
      <c r="E96" s="526"/>
      <c r="F96" s="526"/>
      <c r="L96" s="550"/>
      <c r="M96" s="533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0" t="s">
        <v>187</v>
      </c>
      <c r="C97" s="608">
        <f>DATE(YEAR(DataRevRea)+1,MONTH(DataRevRea),DAY(DataRevRea)-1)</f>
        <v>45198</v>
      </c>
      <c r="D97" s="607"/>
      <c r="E97" s="526"/>
      <c r="F97" s="526"/>
      <c r="L97" s="550"/>
      <c r="M97" s="533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0" t="s">
        <v>667</v>
      </c>
      <c r="C98" s="608" t="str">
        <f>TEXT(C14,"mmmm")&amp;" de "&amp;TEXT(C14,"aaaa")&amp; " a "&amp;TEXT(C17,"mmmm")&amp;" de "&amp;TEXT(C17,"aaaa")</f>
        <v>setembro de 2021 a agosto de 2022</v>
      </c>
      <c r="D98" s="526"/>
      <c r="E98" s="526"/>
      <c r="F98" s="526"/>
      <c r="L98" s="550"/>
      <c r="M98" s="533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0" t="s">
        <v>668</v>
      </c>
      <c r="C99" s="601"/>
      <c r="D99" s="526"/>
      <c r="E99" s="526"/>
      <c r="F99" s="526"/>
      <c r="I99" s="554"/>
      <c r="L99" s="550"/>
      <c r="M99" s="533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0" t="s">
        <v>633</v>
      </c>
      <c r="C100" s="601"/>
      <c r="D100" s="526"/>
      <c r="E100" s="526"/>
      <c r="F100" s="526"/>
      <c r="L100" s="550"/>
      <c r="M100" s="533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0" t="s">
        <v>669</v>
      </c>
      <c r="C101" s="601"/>
      <c r="D101" s="526"/>
      <c r="E101" s="526"/>
      <c r="F101" s="526"/>
      <c r="L101" s="550"/>
      <c r="M101" s="533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0" t="s">
        <v>670</v>
      </c>
      <c r="C102" s="609"/>
      <c r="D102" s="526"/>
      <c r="E102" s="526"/>
      <c r="F102" s="526"/>
      <c r="L102" s="550"/>
      <c r="M102" s="533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0" t="s">
        <v>671</v>
      </c>
      <c r="C103" s="609">
        <f>Resultado!D32</f>
        <v>733473.02962819999</v>
      </c>
      <c r="D103" s="526"/>
      <c r="E103" s="526"/>
      <c r="F103" s="526"/>
      <c r="L103" s="550"/>
      <c r="M103" s="533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0" t="s">
        <v>672</v>
      </c>
      <c r="C104" s="609">
        <f>SUM(Resultado!D25:D29)</f>
        <v>0</v>
      </c>
      <c r="D104" s="526"/>
      <c r="E104" s="526"/>
      <c r="F104" s="526"/>
      <c r="H104" s="569"/>
      <c r="I104" s="569"/>
      <c r="L104" s="550"/>
      <c r="M104" s="533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0" t="s">
        <v>673</v>
      </c>
      <c r="C105" s="609">
        <f>Resultado!D31</f>
        <v>0</v>
      </c>
      <c r="D105" s="526"/>
      <c r="E105" s="526"/>
      <c r="F105" s="526"/>
      <c r="L105" s="550"/>
      <c r="M105" s="533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0" t="s">
        <v>674</v>
      </c>
      <c r="C106" s="610">
        <f>ROUND(Calc_Mercado!J18/1000,0)</f>
        <v>1</v>
      </c>
      <c r="D106" s="526"/>
      <c r="E106" s="526"/>
      <c r="F106" s="526"/>
      <c r="L106" s="550"/>
      <c r="M106" s="533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0" t="s">
        <v>675</v>
      </c>
      <c r="C107" s="610">
        <f ca="1">ROUND(Mercado_RA0_Reais/1000000,0)</f>
        <v>5</v>
      </c>
      <c r="D107" s="526"/>
      <c r="E107" s="526"/>
      <c r="F107" s="526"/>
      <c r="L107" s="550"/>
      <c r="M107" s="533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0" t="s">
        <v>205</v>
      </c>
      <c r="C108" s="610" t="str">
        <f>VLOOKUP(LnkTXTSigla,Informacoes[],11,FALSE)</f>
        <v>CELESC</v>
      </c>
      <c r="D108" s="526"/>
      <c r="E108" s="526" t="str">
        <f>VLOOKUP(LnkTXTSigla,Informacoes[],11,FALSE)</f>
        <v>CELESC</v>
      </c>
      <c r="F108" s="526"/>
      <c r="L108" s="550"/>
      <c r="M108" s="533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2" t="s">
        <v>207</v>
      </c>
      <c r="C109" s="1015" t="str">
        <f>IF(E109=0,"!vazio!"," e "&amp;E109)</f>
        <v>!vazio!</v>
      </c>
      <c r="D109" s="1016"/>
      <c r="E109" s="1016">
        <f>VLOOKUP(LnkTXTSigla,Informacoes[],13,FALSE)</f>
        <v>0</v>
      </c>
      <c r="F109" s="1016"/>
      <c r="L109" s="550"/>
      <c r="M109" s="533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2" t="s">
        <v>676</v>
      </c>
      <c r="C110" s="1015" t="str">
        <f ca="1">IF(AnoRevRea=VLOOKUP(LnkTXTSigla,Informacoes[],15,FALSE),"REVISÃO","REAJUSTE")</f>
        <v>REVISÃO</v>
      </c>
      <c r="D110" s="1016"/>
      <c r="E110" s="1016"/>
      <c r="F110" s="1016"/>
      <c r="L110" s="550"/>
      <c r="M110" s="533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2" t="s">
        <v>677</v>
      </c>
      <c r="C111" s="1015" t="str">
        <f ca="1">IF(C110="Reajuste", "Reajuste Tarifário Anual - RTA", "Revisão Tarifária Periódica - RTP")</f>
        <v>Revisão Tarifária Periódica - RTP</v>
      </c>
      <c r="D111" s="1015"/>
      <c r="E111" s="1015"/>
      <c r="F111" s="1015"/>
      <c r="L111" s="550"/>
      <c r="M111" s="533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2"/>
      <c r="C112" s="746"/>
      <c r="D112" s="746"/>
      <c r="E112" s="746"/>
      <c r="F112" s="746"/>
      <c r="L112" s="550"/>
      <c r="M112" s="533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1" t="s">
        <v>678</v>
      </c>
      <c r="C113" s="744" t="str">
        <f>VLOOKUP(C9,Informacoes[],19,FALSE)</f>
        <v>Sim</v>
      </c>
      <c r="D113" s="744"/>
      <c r="E113" s="744"/>
      <c r="F113" s="744"/>
      <c r="L113" s="550"/>
      <c r="M113" s="533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2" t="s">
        <v>679</v>
      </c>
      <c r="C114" s="745">
        <f>VLOOKUP(C9,Informacoes[],20,FALSE)</f>
        <v>43435</v>
      </c>
      <c r="D114" s="745"/>
      <c r="E114" s="745"/>
      <c r="F114" s="745"/>
      <c r="L114" s="550"/>
      <c r="M114" s="533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0"/>
      <c r="M115" s="533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0"/>
      <c r="M116" s="533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0"/>
      <c r="M117" s="533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0"/>
      <c r="M118" s="533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7" t="s">
        <v>198</v>
      </c>
      <c r="C119" s="1017" t="s">
        <v>198</v>
      </c>
      <c r="L119" s="550"/>
      <c r="M119" s="533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8" t="str">
        <f>LnkTXTSigla</f>
        <v>Cersad</v>
      </c>
      <c r="C120" s="1019" t="str">
        <f>LnkTXTSuprid1</f>
        <v>CELESC</v>
      </c>
      <c r="L120" s="550"/>
      <c r="M120" s="533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0"/>
      <c r="M121" s="533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0"/>
      <c r="M122" s="533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0"/>
      <c r="M123" s="533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0"/>
      <c r="M124" s="533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0"/>
      <c r="M125" s="533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0"/>
      <c r="M126" s="533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0"/>
      <c r="M127" s="533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0"/>
      <c r="M128" s="533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3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3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3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3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3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3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3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3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3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3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3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3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3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3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3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3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3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3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3"/>
    </row>
    <row r="148" spans="13:84">
      <c r="M148" s="533"/>
    </row>
    <row r="149" spans="13:84">
      <c r="M149" s="533"/>
    </row>
    <row r="150" spans="13:84">
      <c r="M150" s="533"/>
    </row>
    <row r="151" spans="13:84">
      <c r="M151" s="533"/>
    </row>
    <row r="152" spans="13:84">
      <c r="M152" s="533"/>
    </row>
    <row r="153" spans="13:84">
      <c r="M153" s="533"/>
    </row>
    <row r="154" spans="13:84">
      <c r="M154" s="533"/>
    </row>
    <row r="155" spans="13:84">
      <c r="M155" s="533"/>
    </row>
    <row r="156" spans="13:84">
      <c r="M156" s="533"/>
    </row>
    <row r="157" spans="13:84">
      <c r="M157" s="533"/>
    </row>
    <row r="158" spans="13:84">
      <c r="M158" s="533"/>
    </row>
    <row r="159" spans="13:84">
      <c r="M159" s="533"/>
    </row>
    <row r="160" spans="13:84">
      <c r="M160" s="533"/>
    </row>
    <row r="161" spans="13:13">
      <c r="M161" s="533"/>
    </row>
    <row r="162" spans="13:13">
      <c r="M162" s="533"/>
    </row>
    <row r="163" spans="13:13">
      <c r="M163" s="533"/>
    </row>
    <row r="164" spans="13:13">
      <c r="M164" s="533"/>
    </row>
    <row r="165" spans="13:13">
      <c r="M165" s="533"/>
    </row>
    <row r="166" spans="13:13">
      <c r="M166" s="533"/>
    </row>
    <row r="167" spans="13:13">
      <c r="M167" s="533"/>
    </row>
    <row r="168" spans="13:13">
      <c r="M168" s="533"/>
    </row>
    <row r="169" spans="13:13">
      <c r="M169" s="533"/>
    </row>
    <row r="170" spans="13:13">
      <c r="M170" s="533"/>
    </row>
    <row r="171" spans="13:13">
      <c r="M171" s="533"/>
    </row>
    <row r="172" spans="13:13">
      <c r="M172" s="533"/>
    </row>
    <row r="173" spans="13:13">
      <c r="M173" s="533"/>
    </row>
    <row r="174" spans="13:13">
      <c r="M174" s="533"/>
    </row>
    <row r="175" spans="13:13">
      <c r="M175" s="533"/>
    </row>
    <row r="176" spans="13:13">
      <c r="M176" s="533"/>
    </row>
    <row r="177" spans="13:13">
      <c r="M177" s="533"/>
    </row>
    <row r="178" spans="13:13">
      <c r="M178" s="533"/>
    </row>
    <row r="179" spans="13:13">
      <c r="M179" s="533"/>
    </row>
    <row r="180" spans="13:13">
      <c r="M180" s="533"/>
    </row>
    <row r="181" spans="13:13">
      <c r="M181" s="533"/>
    </row>
    <row r="182" spans="13:13">
      <c r="M182" s="533"/>
    </row>
    <row r="183" spans="13:13">
      <c r="M183" s="533"/>
    </row>
    <row r="184" spans="13:13">
      <c r="M184" s="533"/>
    </row>
    <row r="185" spans="13:13">
      <c r="M185" s="533"/>
    </row>
    <row r="186" spans="13:13">
      <c r="M186" s="533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/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0" t="s">
        <v>681</v>
      </c>
      <c r="C1" s="1021"/>
      <c r="D1" s="70"/>
      <c r="E1" s="70"/>
      <c r="F1" s="70"/>
      <c r="G1" s="75"/>
    </row>
    <row r="2" spans="1:15" ht="16.5">
      <c r="A2" s="137"/>
      <c r="B2" s="619" t="str">
        <f ca="1">CAPA!C9&amp; " - " &amp;CAPA!C110&amp;" "&amp;AnoRefTar</f>
        <v>Cersad - REVISÃO 2022</v>
      </c>
      <c r="C2" s="70"/>
      <c r="D2" s="70"/>
      <c r="E2" s="70"/>
      <c r="F2" s="70"/>
      <c r="G2" s="75"/>
      <c r="H2" s="376" t="s">
        <v>682</v>
      </c>
      <c r="I2" s="656">
        <v>44818.481724537036</v>
      </c>
      <c r="K2" s="691" t="s">
        <v>683</v>
      </c>
      <c r="L2" s="692"/>
    </row>
    <row r="3" spans="1:15" ht="16.5" customHeight="1">
      <c r="A3" s="137"/>
      <c r="B3" s="936" t="s">
        <v>684</v>
      </c>
      <c r="C3" s="785"/>
      <c r="D3" s="75"/>
      <c r="E3" s="75"/>
      <c r="F3" s="75"/>
      <c r="G3" s="75"/>
      <c r="H3" s="657" t="s">
        <v>685</v>
      </c>
      <c r="I3" s="657">
        <v>11</v>
      </c>
      <c r="K3" s="693" t="s">
        <v>686</v>
      </c>
      <c r="L3" s="654">
        <v>5.5563017771457668E-2</v>
      </c>
    </row>
    <row r="4" spans="1:15" ht="16.5">
      <c r="A4" s="137"/>
      <c r="G4" s="75"/>
      <c r="J4" s="9"/>
      <c r="K4" s="693" t="s">
        <v>687</v>
      </c>
      <c r="L4" s="654">
        <v>0.15117637497720193</v>
      </c>
    </row>
    <row r="5" spans="1:15" ht="16.5" customHeight="1">
      <c r="A5" s="137"/>
      <c r="B5" s="1022" t="s">
        <v>688</v>
      </c>
      <c r="C5" s="1023">
        <f ca="1">D39+D34</f>
        <v>5910295.9574108645</v>
      </c>
      <c r="D5" s="142"/>
      <c r="E5" s="79"/>
      <c r="F5" s="77"/>
      <c r="G5" s="75"/>
      <c r="H5" s="655"/>
      <c r="J5" s="270"/>
      <c r="K5" s="694" t="s">
        <v>689</v>
      </c>
      <c r="L5" s="662">
        <v>0.10445708587895863</v>
      </c>
    </row>
    <row r="6" spans="1:15" ht="16.5" customHeight="1">
      <c r="A6" s="137"/>
      <c r="B6" s="76" t="s">
        <v>690</v>
      </c>
      <c r="C6" s="77">
        <f ca="1">Mercado_RA0_Reais</f>
        <v>5293897.0709500015</v>
      </c>
      <c r="D6" s="77"/>
      <c r="E6" s="471"/>
      <c r="F6" s="77"/>
      <c r="G6" s="138"/>
      <c r="H6" s="81"/>
      <c r="J6" s="270"/>
      <c r="K6" s="695" t="s">
        <v>691</v>
      </c>
      <c r="L6" s="696">
        <v>538.05999999999995</v>
      </c>
      <c r="M6" s="79"/>
    </row>
    <row r="7" spans="1:15" ht="16.5" customHeight="1">
      <c r="A7" s="137"/>
      <c r="B7" s="1024" t="s">
        <v>2317</v>
      </c>
      <c r="C7" s="1025">
        <f ca="1">ROUND((C5/C6-1),4)</f>
        <v>0.1164</v>
      </c>
      <c r="D7" s="487"/>
      <c r="E7" s="75"/>
      <c r="F7" s="1782"/>
      <c r="G7" s="75"/>
      <c r="H7" s="81"/>
      <c r="K7" s="49" t="s">
        <v>692</v>
      </c>
      <c r="L7" s="914">
        <f>L6/'Tabelas e Gráficos'!U39-1</f>
        <v>0.13855855093317526</v>
      </c>
    </row>
    <row r="8" spans="1:15" ht="16.5" customHeight="1">
      <c r="A8" s="137"/>
      <c r="B8" s="78" t="s">
        <v>693</v>
      </c>
      <c r="C8" s="252">
        <f ca="1">ROUND(Financeiros!E7,4)</f>
        <v>-0.26369999999999999</v>
      </c>
      <c r="D8" s="488"/>
      <c r="E8" s="75"/>
      <c r="F8" s="252"/>
      <c r="G8" s="75"/>
      <c r="H8" s="81"/>
      <c r="K8" s="697" t="s">
        <v>694</v>
      </c>
      <c r="L8" s="698" t="s">
        <v>2039</v>
      </c>
      <c r="M8" s="658" t="s">
        <v>696</v>
      </c>
    </row>
    <row r="9" spans="1:15" ht="16.5" customHeight="1">
      <c r="A9" s="137"/>
      <c r="B9" s="1026" t="s">
        <v>2318</v>
      </c>
      <c r="C9" s="1027">
        <f ca="1">ROUND((C7+C8),5)</f>
        <v>-0.14729999999999999</v>
      </c>
      <c r="D9" s="487"/>
      <c r="E9" s="487"/>
      <c r="F9" s="1782"/>
      <c r="G9" s="75"/>
      <c r="K9" s="693" t="s">
        <v>697</v>
      </c>
      <c r="L9" s="699">
        <f>Aj.Subsídio!G28*12</f>
        <v>0</v>
      </c>
      <c r="M9" s="699">
        <v>0</v>
      </c>
    </row>
    <row r="10" spans="1:15" ht="16.5" customHeight="1">
      <c r="A10" s="137"/>
      <c r="B10" s="1026" t="s">
        <v>698</v>
      </c>
      <c r="C10" s="1027">
        <f ca="1">ROUND((LnkTXTEfeito-LnkTXTIRTTotal),4)</f>
        <v>0.25180000000000002</v>
      </c>
      <c r="D10" s="702">
        <f ca="1">LnKTxTRA1+Financeiros!D5</f>
        <v>4514032.9369329065</v>
      </c>
      <c r="E10" s="75"/>
      <c r="F10" s="1782"/>
      <c r="G10" s="75"/>
      <c r="K10" s="693" t="s">
        <v>699</v>
      </c>
      <c r="L10" s="699">
        <f>Aj.Subsídio!G29*12</f>
        <v>0</v>
      </c>
      <c r="M10" s="699">
        <v>0</v>
      </c>
    </row>
    <row r="11" spans="1:15" ht="16.5" customHeight="1">
      <c r="A11" s="137"/>
      <c r="B11" s="936" t="s">
        <v>700</v>
      </c>
      <c r="C11" s="785"/>
      <c r="D11" s="1028"/>
      <c r="E11" s="1028"/>
      <c r="F11" s="1028"/>
      <c r="G11" s="75"/>
      <c r="K11" s="693" t="s">
        <v>701</v>
      </c>
      <c r="L11" s="699">
        <f>Aj.Subsídio!G30*12</f>
        <v>0</v>
      </c>
      <c r="M11" s="699">
        <v>0</v>
      </c>
    </row>
    <row r="12" spans="1:15" ht="16.5" customHeight="1">
      <c r="E12" s="1029"/>
      <c r="F12" s="1029"/>
      <c r="K12" s="693" t="s">
        <v>702</v>
      </c>
      <c r="L12" s="699">
        <f>Aj.Subsídio!G31*12</f>
        <v>0</v>
      </c>
      <c r="M12" s="699">
        <v>0</v>
      </c>
      <c r="O12" s="837"/>
    </row>
    <row r="13" spans="1:15" ht="15" customHeight="1">
      <c r="B13" s="1030"/>
      <c r="C13" s="1031" t="s">
        <v>695</v>
      </c>
      <c r="D13" s="1032" t="s">
        <v>696</v>
      </c>
      <c r="E13" s="1031" t="s">
        <v>703</v>
      </c>
      <c r="F13" s="1030" t="s">
        <v>704</v>
      </c>
      <c r="K13" s="693" t="s">
        <v>705</v>
      </c>
      <c r="L13" s="699">
        <f>Aj.Subsídio!G32*12</f>
        <v>49702.680000000008</v>
      </c>
      <c r="M13" s="699">
        <v>26693.112891671346</v>
      </c>
      <c r="O13" s="837"/>
    </row>
    <row r="14" spans="1:15" ht="14.25">
      <c r="B14" s="1033" t="s">
        <v>706</v>
      </c>
      <c r="C14" s="1034">
        <f ca="1">SUM(C15:C23)</f>
        <v>673493.11611311208</v>
      </c>
      <c r="D14" s="1035">
        <f ca="1">SUM(D15:D23)</f>
        <v>1032297.9562273542</v>
      </c>
      <c r="E14" s="1036">
        <f t="shared" ref="E14:E34" ca="1" si="0">(D14-C14)/LnkTXTRA0</f>
        <v>6.7777071466531905E-2</v>
      </c>
      <c r="F14" s="1037">
        <f ca="1">IF(ISERROR(D14/C14-1),"-",D14/C14-1)</f>
        <v>0.53275205273810333</v>
      </c>
      <c r="G14" s="287"/>
      <c r="H14" s="100"/>
      <c r="K14" s="693" t="s">
        <v>707</v>
      </c>
      <c r="L14" s="699">
        <f>Aj.Subsídio!G33*12</f>
        <v>1480.32</v>
      </c>
      <c r="M14" s="699">
        <v>934.723026263154</v>
      </c>
      <c r="O14" s="837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5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5"/>
    </row>
    <row r="17" spans="2:14" ht="14.25">
      <c r="B17" s="78" t="s">
        <v>710</v>
      </c>
      <c r="C17" s="223">
        <f ca="1">Mercado_Faturado_Encargo_TFSEE_BRUTO</f>
        <v>7866.529803671041</v>
      </c>
      <c r="D17" s="131">
        <f ca="1">Encargos!C6</f>
        <v>9837.212867354101</v>
      </c>
      <c r="E17" s="221">
        <f t="shared" ca="1" si="0"/>
        <v>3.7225564405040778E-4</v>
      </c>
      <c r="F17" s="253">
        <f t="shared" ca="1" si="1"/>
        <v>0.25051491736081766</v>
      </c>
      <c r="G17" s="287"/>
    </row>
    <row r="18" spans="2:14" ht="14.25">
      <c r="B18" s="78" t="s">
        <v>711</v>
      </c>
      <c r="C18" s="224">
        <f ca="1">Mercado_Faturado_Encargo_CDE_BRUTO+Calc_Mercado!S75</f>
        <v>530642.62100121856</v>
      </c>
      <c r="D18" s="225">
        <f ca="1">Encargos!C7</f>
        <v>631719.95399000007</v>
      </c>
      <c r="E18" s="222">
        <f t="shared" ca="1" si="0"/>
        <v>1.9093180625561909E-2</v>
      </c>
      <c r="F18" s="253">
        <f t="shared" ca="1" si="1"/>
        <v>0.19048099226946458</v>
      </c>
      <c r="G18" s="287"/>
      <c r="H18" s="140"/>
      <c r="K18" s="49" t="s">
        <v>712</v>
      </c>
      <c r="L18" s="700">
        <v>44818.494814814818</v>
      </c>
      <c r="M18" s="49"/>
      <c r="N18" s="613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3" t="s">
        <v>713</v>
      </c>
      <c r="L19" s="693"/>
      <c r="M19" s="693"/>
      <c r="N19" s="290"/>
    </row>
    <row r="20" spans="2:14" ht="14.25">
      <c r="B20" s="78" t="s">
        <v>714</v>
      </c>
      <c r="C20" s="223">
        <f ca="1">Mercado_Faturado_Encargo_ESSERR_BRUTO</f>
        <v>47032.909666828491</v>
      </c>
      <c r="D20" s="131">
        <f>Encargos!C9</f>
        <v>257354.31</v>
      </c>
      <c r="E20" s="221">
        <f t="shared" ca="1" si="0"/>
        <v>3.9729030903774047E-2</v>
      </c>
      <c r="F20" s="253">
        <f t="shared" ca="1" si="1"/>
        <v>4.471792237032437</v>
      </c>
      <c r="G20" s="287"/>
      <c r="K20" s="693" t="s">
        <v>715</v>
      </c>
      <c r="L20" s="701"/>
      <c r="M20" s="701"/>
    </row>
    <row r="21" spans="2:14" ht="14.25">
      <c r="B21" s="78" t="s">
        <v>47</v>
      </c>
      <c r="C21" s="223">
        <f ca="1">Mercado_Faturado_Encargo_PROINFA_BRUTO</f>
        <v>87951.055641393963</v>
      </c>
      <c r="D21" s="131">
        <f ca="1">Encargos!C10</f>
        <v>133386.47937000002</v>
      </c>
      <c r="E21" s="221">
        <f t="shared" ca="1" si="0"/>
        <v>8.5826042931455345E-3</v>
      </c>
      <c r="F21" s="253">
        <f t="shared" ca="1" si="1"/>
        <v>0.51659895833270664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49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8" t="s">
        <v>717</v>
      </c>
      <c r="C24" s="1034">
        <f ca="1">SUM(C25:C32)</f>
        <v>750046.36106290016</v>
      </c>
      <c r="D24" s="1035">
        <f>SUM(D25:D32)</f>
        <v>733473.02962819999</v>
      </c>
      <c r="E24" s="1036">
        <f t="shared" ca="1" si="0"/>
        <v>-3.130648596408402E-3</v>
      </c>
      <c r="F24" s="1037">
        <f t="shared" ca="1" si="1"/>
        <v>-2.2096409362234448E-2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1781" t="s">
        <v>637</v>
      </c>
      <c r="C26" s="77">
        <f ca="1">IFERROR(Calc_Mercado!C89,0)</f>
        <v>0</v>
      </c>
      <c r="D26" s="1749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1781" t="s">
        <v>718</v>
      </c>
      <c r="D27" s="1750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1781" t="s">
        <v>719</v>
      </c>
      <c r="D28" s="1750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50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50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9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750046.36106290016</v>
      </c>
      <c r="D32" s="1749">
        <f>CUSD!C3</f>
        <v>733473.02962819999</v>
      </c>
      <c r="E32" s="221">
        <f t="shared" ca="1" si="2"/>
        <v>-3.130648596408402E-3</v>
      </c>
      <c r="F32" s="254">
        <f t="shared" ca="1" si="1"/>
        <v>-2.2096409362234448E-2</v>
      </c>
      <c r="G32" s="287"/>
    </row>
    <row r="33" spans="2:8" ht="14.25">
      <c r="B33" s="1038" t="s">
        <v>108</v>
      </c>
      <c r="C33" s="1034">
        <f ca="1">SUM(Calc_Mercado!C79:C84)</f>
        <v>2031904.167979738</v>
      </c>
      <c r="D33" s="1035">
        <f ca="1">Energia!F24</f>
        <v>1744524.9715553098</v>
      </c>
      <c r="E33" s="1036">
        <f t="shared" ca="1" si="0"/>
        <v>-5.4284998853001372E-2</v>
      </c>
      <c r="F33" s="1037">
        <f ca="1">IF(ISERROR(D33/C33-1),"-",D33/C33-1)</f>
        <v>-0.14143344009681358</v>
      </c>
      <c r="G33" s="287"/>
    </row>
    <row r="34" spans="2:8" ht="14.25">
      <c r="B34" s="1039" t="s">
        <v>722</v>
      </c>
      <c r="C34" s="1040">
        <f ca="1">C14+C24+C33</f>
        <v>3455443.6451557502</v>
      </c>
      <c r="D34" s="1041">
        <f ca="1">D33+D24+D14</f>
        <v>3510295.9574108641</v>
      </c>
      <c r="E34" s="1042">
        <f t="shared" ca="1" si="0"/>
        <v>1.0361424017122131E-2</v>
      </c>
      <c r="F34" s="1043">
        <f ca="1">IF(ISERROR(D34/C34-1),"-",D34/C34-1)</f>
        <v>1.5874173590419316E-2</v>
      </c>
      <c r="G34" s="287"/>
    </row>
    <row r="35" spans="2:8" ht="14.25">
      <c r="G35" s="69"/>
      <c r="H35" s="107"/>
    </row>
    <row r="36" spans="2:8" ht="14.25">
      <c r="B36" s="936" t="s">
        <v>104</v>
      </c>
      <c r="C36" s="785"/>
      <c r="D36" s="785"/>
      <c r="E36" s="1028"/>
      <c r="F36" s="1028"/>
      <c r="G36" s="69"/>
    </row>
    <row r="37" spans="2:8" ht="8.25" customHeight="1">
      <c r="G37" s="69"/>
      <c r="H37" s="140"/>
    </row>
    <row r="38" spans="2:8" ht="15.75" customHeight="1">
      <c r="B38" s="659"/>
      <c r="C38" s="659" t="s">
        <v>695</v>
      </c>
      <c r="D38" s="659" t="s">
        <v>696</v>
      </c>
      <c r="E38" s="1044" t="s">
        <v>703</v>
      </c>
      <c r="F38" s="659" t="s">
        <v>704</v>
      </c>
      <c r="G38" s="69"/>
      <c r="H38" s="141"/>
    </row>
    <row r="39" spans="2:8" ht="15.75" customHeight="1">
      <c r="B39" s="1045" t="s">
        <v>723</v>
      </c>
      <c r="C39" s="1046">
        <f ca="1">LnkTXTRA0-C34</f>
        <v>1838453.4257942513</v>
      </c>
      <c r="D39" s="1047">
        <f>IFERROR(SMALL(IF(LnkTXTPBReq=0,CAPA!K29,LnkTXTPBReq):LNKTXTLImPB,1),0)</f>
        <v>2400000</v>
      </c>
      <c r="E39" s="1048">
        <f ca="1">(D39-C39)/LnkTXTRA0</f>
        <v>0.10607432798178261</v>
      </c>
      <c r="F39" s="1049">
        <f ca="1">IF(ISERROR(D39/C39-1),"-",D39/C39-1)</f>
        <v>0.30544509114401341</v>
      </c>
      <c r="G39" s="69"/>
      <c r="H39" s="140"/>
    </row>
    <row r="40" spans="2:8" ht="14.25">
      <c r="B40" s="703"/>
      <c r="C40" s="704"/>
      <c r="D40" s="705"/>
      <c r="E40" s="703"/>
      <c r="F40" s="703"/>
    </row>
    <row r="41" spans="2:8" ht="14.25">
      <c r="B41" s="936" t="s">
        <v>724</v>
      </c>
      <c r="C41" s="785"/>
      <c r="D41" s="785"/>
      <c r="E41" s="1028"/>
      <c r="F41" s="1028"/>
    </row>
    <row r="42" spans="2:8" ht="9" customHeight="1">
      <c r="E42" s="75"/>
      <c r="F42" s="75"/>
    </row>
    <row r="43" spans="2:8" ht="15.75" customHeight="1">
      <c r="B43" s="703"/>
      <c r="C43" s="1030" t="s">
        <v>725</v>
      </c>
      <c r="D43" s="1030" t="s">
        <v>703</v>
      </c>
      <c r="E43" s="461" t="s">
        <v>726</v>
      </c>
      <c r="F43" s="461"/>
      <c r="G43" s="461"/>
    </row>
    <row r="44" spans="2:8" ht="15.75" hidden="1" customHeight="1">
      <c r="B44" s="1050" t="s">
        <v>727</v>
      </c>
      <c r="C44" s="1051">
        <f ca="1">SUM(C45:C85)</f>
        <v>-1396263.0204779583</v>
      </c>
      <c r="D44" s="1758">
        <f ca="1">C44/Financeiros!D4</f>
        <v>-0.26374955949557133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61438.618211552304</v>
      </c>
      <c r="D45" s="466">
        <f ca="1">C45/Financeiros!$D$4</f>
        <v>1.160555586709339E-2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23342.836797452735</v>
      </c>
      <c r="D46" s="466">
        <f ca="1">C46/Financeiros!$D$4</f>
        <v>4.4093862205114263E-3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-19756.596540923529</v>
      </c>
      <c r="D55" s="466">
        <f ca="1">C55/Financeiros!$D$4</f>
        <v>-3.7319570585036261E-3</v>
      </c>
      <c r="E55" s="461">
        <f t="shared" ca="1" si="3"/>
        <v>1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-1242268.5927623026</v>
      </c>
      <c r="D56" s="466">
        <f ca="1">C56/Financeiros!$D$4</f>
        <v>-0.23466051117223077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0</v>
      </c>
      <c r="D57" s="466">
        <f ca="1">C57/Financeiros!$D$4</f>
        <v>0</v>
      </c>
      <c r="E57" s="461">
        <f t="shared" ca="1" si="3"/>
        <v>0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de PIS COFINS</v>
      </c>
      <c r="C66" s="447">
        <f ca="1">'Tabelas e Gráficos'!AN188</f>
        <v>-61438.618211552297</v>
      </c>
      <c r="D66" s="466">
        <f ca="1">C66/Financeiros!$D$4</f>
        <v>-1.1605555867093388E-2</v>
      </c>
      <c r="E66" s="461">
        <f t="shared" ca="1" si="3"/>
        <v>1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161818.51978759293</v>
      </c>
      <c r="D73" s="466">
        <f ca="1">C73/Financeiros!$D$4</f>
        <v>3.0566993959055995E-2</v>
      </c>
      <c r="E73" s="461">
        <f t="shared" ca="1" si="3"/>
        <v>1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-58703.927799999998</v>
      </c>
      <c r="D75" s="466">
        <f ca="1">C75/Financeiros!$D$4</f>
        <v>-1.108898171106025E-2</v>
      </c>
      <c r="E75" s="461">
        <f t="shared" ca="1" si="3"/>
        <v>1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60497.069499999998</v>
      </c>
      <c r="D76" s="466">
        <f ca="1">C76/Financeiros!$D$4</f>
        <v>1.1427700366895057E-2</v>
      </c>
      <c r="E76" s="461">
        <f t="shared" ca="1" si="3"/>
        <v>1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-45482.544057402913</v>
      </c>
      <c r="D77" s="466">
        <f ca="1">C77/Financeiros!$D$4</f>
        <v>-8.5915051705455561E-3</v>
      </c>
      <c r="E77" s="461">
        <f t="shared" ca="1" si="3"/>
        <v>1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-737.77549999999985</v>
      </c>
      <c r="D80" s="466">
        <f ca="1">C80/Financeiros!$D$4</f>
        <v>-1.3936340093359699E-4</v>
      </c>
      <c r="E80" s="461">
        <f t="shared" ca="1" si="3"/>
        <v>1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-123230.44921488343</v>
      </c>
      <c r="D81" s="466">
        <f ca="1">C81/Financeiros!$D$4</f>
        <v>-2.3277832485845716E-2</v>
      </c>
      <c r="E81" s="461">
        <f t="shared" ca="1" si="3"/>
        <v>1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148258.43931250859</v>
      </c>
      <c r="D82" s="466">
        <f ca="1">C82/Financeiros!$D$4</f>
        <v>2.8005538703438238E-2</v>
      </c>
      <c r="E82" s="461">
        <f t="shared" ca="1" si="3"/>
        <v>1</v>
      </c>
    </row>
    <row r="83" spans="2:5" ht="15.75" hidden="1" customHeight="1">
      <c r="B83" s="82" t="str">
        <f>'Tabelas e Gráficos'!AM205</f>
        <v>Diferimento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>Diferimento CUSD</v>
      </c>
      <c r="C84" s="447">
        <f>'Tabelas e Gráficos'!AN206</f>
        <v>-300000</v>
      </c>
      <c r="D84" s="466">
        <f ca="1">C84/Financeiros!$D$4</f>
        <v>-5.6669027746352525E-2</v>
      </c>
      <c r="E84" s="461">
        <f t="shared" ca="1" si="3"/>
        <v>1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55"/>
      <c r="C86" s="1756"/>
      <c r="D86" s="1757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3"/>
      <c r="B102" s="1755"/>
      <c r="C102" s="1756"/>
      <c r="D102" s="1757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C6" zoomScaleNormal="100" workbookViewId="0">
      <selection activeCell="S75" sqref="S75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2" t="s">
        <v>872</v>
      </c>
      <c r="C1" s="1021"/>
      <c r="D1" s="933"/>
      <c r="E1" s="933"/>
      <c r="F1" s="933"/>
      <c r="G1" s="1131" t="s">
        <v>873</v>
      </c>
      <c r="H1" s="1132">
        <f ca="1">LnkTXTIRTEco</f>
        <v>0.1164</v>
      </c>
      <c r="I1" s="70"/>
      <c r="J1" s="70"/>
      <c r="P1" s="1133" t="s">
        <v>874</v>
      </c>
      <c r="Q1" s="1134"/>
      <c r="S1" s="1135" t="s">
        <v>875</v>
      </c>
      <c r="T1" s="1134" t="s">
        <v>876</v>
      </c>
      <c r="W1" s="1133" t="s">
        <v>875</v>
      </c>
      <c r="X1" s="1134" t="s">
        <v>876</v>
      </c>
    </row>
    <row r="2" spans="2:24" ht="14.25">
      <c r="B2" s="136" t="str">
        <f>CAPA!C9</f>
        <v>Cersad</v>
      </c>
      <c r="C2" s="70"/>
      <c r="D2" s="70"/>
      <c r="G2" s="120" t="s">
        <v>877</v>
      </c>
      <c r="H2" s="121">
        <f ca="1">LnkTXTIRTTotal</f>
        <v>-0.14729999999999999</v>
      </c>
      <c r="P2" s="1136">
        <f>DATE(YEAR(P4),MONTH(P4)-1,1)</f>
        <v>44440</v>
      </c>
      <c r="Q2" s="661"/>
      <c r="S2" s="660" t="s">
        <v>878</v>
      </c>
      <c r="T2" s="661" t="s">
        <v>879</v>
      </c>
      <c r="W2" s="660" t="s">
        <v>880</v>
      </c>
      <c r="X2" s="661" t="s">
        <v>879</v>
      </c>
    </row>
    <row r="3" spans="2:24" ht="14.25">
      <c r="P3" s="1133" t="s">
        <v>874</v>
      </c>
      <c r="Q3" s="1134"/>
      <c r="S3" s="1135" t="s">
        <v>875</v>
      </c>
      <c r="T3" s="1134" t="s">
        <v>876</v>
      </c>
      <c r="W3" s="1133" t="s">
        <v>875</v>
      </c>
      <c r="X3" s="1134" t="s">
        <v>876</v>
      </c>
    </row>
    <row r="4" spans="2:24" ht="14.25">
      <c r="P4" s="1136">
        <f>DATE(YEAR(P6),MONTH(P6)-1,1)</f>
        <v>44470</v>
      </c>
      <c r="Q4" s="661"/>
      <c r="S4" s="660" t="s">
        <v>538</v>
      </c>
      <c r="T4" s="661" t="s">
        <v>879</v>
      </c>
      <c r="W4" s="660" t="s">
        <v>880</v>
      </c>
      <c r="X4" s="661" t="s">
        <v>879</v>
      </c>
    </row>
    <row r="5" spans="2:24" ht="14.25">
      <c r="P5" s="1133" t="s">
        <v>874</v>
      </c>
      <c r="Q5" s="1134"/>
      <c r="S5" s="1133" t="s">
        <v>875</v>
      </c>
      <c r="T5" s="1134" t="s">
        <v>876</v>
      </c>
      <c r="V5" s="95"/>
      <c r="W5" s="1133" t="s">
        <v>875</v>
      </c>
      <c r="X5" s="1134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6">
        <f>DATE(YEAR(P8),MONTH(P8)-1,1)</f>
        <v>44501</v>
      </c>
      <c r="Q6" s="661"/>
      <c r="S6" s="660" t="str">
        <f>"=A3"</f>
        <v>=A3</v>
      </c>
      <c r="T6" s="661" t="s">
        <v>879</v>
      </c>
      <c r="W6" s="660" t="s">
        <v>880</v>
      </c>
      <c r="X6" s="661" t="s">
        <v>879</v>
      </c>
    </row>
    <row r="7" spans="2:24" ht="14.25">
      <c r="B7" s="1137" t="s">
        <v>778</v>
      </c>
      <c r="C7" s="1137" t="s">
        <v>108</v>
      </c>
      <c r="D7" s="1137" t="s">
        <v>884</v>
      </c>
      <c r="E7" s="96"/>
      <c r="F7" s="1137" t="s">
        <v>778</v>
      </c>
      <c r="G7" s="1137" t="s">
        <v>884</v>
      </c>
      <c r="I7" s="1138" t="s">
        <v>778</v>
      </c>
      <c r="J7" s="1138" t="s">
        <v>885</v>
      </c>
      <c r="L7" s="416" t="s">
        <v>886</v>
      </c>
      <c r="M7" s="416"/>
      <c r="N7" s="416" t="s">
        <v>725</v>
      </c>
      <c r="P7" s="1133" t="s">
        <v>874</v>
      </c>
      <c r="Q7" s="1134"/>
      <c r="S7" s="1133" t="s">
        <v>875</v>
      </c>
      <c r="T7" s="1134" t="s">
        <v>876</v>
      </c>
      <c r="W7" s="1133" t="s">
        <v>875</v>
      </c>
      <c r="X7" s="1134" t="s">
        <v>876</v>
      </c>
    </row>
    <row r="8" spans="2:24" ht="14.25">
      <c r="B8" s="1139" t="s">
        <v>887</v>
      </c>
      <c r="C8" s="1140">
        <f ca="1">SUM(C9:C15)</f>
        <v>9460.0060000000012</v>
      </c>
      <c r="D8" s="1141">
        <f ca="1">SUM(D9:D15)</f>
        <v>5293897.0709500015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0.24918808782576196</v>
      </c>
      <c r="L8" s="1142" t="s">
        <v>889</v>
      </c>
      <c r="M8" s="1143"/>
      <c r="N8" s="1144">
        <f>DSUM('BD MERCADO'!A2:AAA999998,"Total",S27:S28)</f>
        <v>1584471.0740700003</v>
      </c>
      <c r="P8" s="1136">
        <f>DATE(YEAR(P10),MONTH(P10)-1,1)</f>
        <v>44531</v>
      </c>
      <c r="Q8" s="661"/>
      <c r="S8" s="660" t="str">
        <f>"=A3a"</f>
        <v>=A3a</v>
      </c>
      <c r="T8" s="661" t="s">
        <v>879</v>
      </c>
      <c r="W8" s="660" t="s">
        <v>880</v>
      </c>
      <c r="X8" s="661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5" t="s">
        <v>755</v>
      </c>
      <c r="J9" s="1146">
        <f ca="1">SUM(INDIRECT("dados_MercadoBase[[PisPasep]:[Cofins]]"))/SUM(INDIRECT("dados_MercadoBase[[PisPasep]:[ICMS]]"),INDIRECT("dados_MercadoBase[FinTotAj]"))</f>
        <v>2.1821254624505453E-2</v>
      </c>
      <c r="L9" s="96" t="s">
        <v>890</v>
      </c>
      <c r="M9" s="415"/>
      <c r="N9" s="115">
        <f>DSUM('BD MERCADO'!A2:AAA999998,"Total",S29:S30)</f>
        <v>2965615.5397299998</v>
      </c>
      <c r="P9" s="1133" t="s">
        <v>874</v>
      </c>
      <c r="Q9" s="1134"/>
      <c r="S9" s="1133" t="s">
        <v>875</v>
      </c>
      <c r="T9" s="1134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47032.909666828476</v>
      </c>
      <c r="L10" s="96" t="s">
        <v>892</v>
      </c>
      <c r="M10" s="415"/>
      <c r="N10" s="115">
        <f>DSUM('BD MERCADO'!A2:AAA999998,"Total",S31:S32)</f>
        <v>110258.11594999999</v>
      </c>
      <c r="P10" s="1136">
        <f>DATE(YEAR(P12),MONTH(P12)-1,1)</f>
        <v>44562</v>
      </c>
      <c r="Q10" s="661"/>
      <c r="S10" s="660" t="s">
        <v>533</v>
      </c>
      <c r="T10" s="661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87951.055641393992</v>
      </c>
      <c r="L11" s="96" t="s">
        <v>894</v>
      </c>
      <c r="M11" s="415"/>
      <c r="N11" s="115">
        <f>DSUM('BD MERCADO'!A2:AAA999998,"Total",S33:S34)</f>
        <v>523862.9175499999</v>
      </c>
      <c r="P11" s="1133" t="s">
        <v>874</v>
      </c>
      <c r="Q11" s="1134"/>
      <c r="S11" s="1133" t="s">
        <v>875</v>
      </c>
      <c r="T11" s="1134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530642.62100121845</v>
      </c>
      <c r="I12" s="111" t="s">
        <v>895</v>
      </c>
      <c r="L12" s="96" t="s">
        <v>896</v>
      </c>
      <c r="M12" s="415"/>
      <c r="N12" s="115">
        <f>DSUM('BD MERCADO'!A2:AAA999998,"Total",S35:S36)</f>
        <v>82163.886700000017</v>
      </c>
      <c r="P12" s="1136">
        <f>DATE(YEAR(P14),MONTH(P14)-1,1)</f>
        <v>44593</v>
      </c>
      <c r="Q12" s="661"/>
      <c r="S12" s="660" t="s">
        <v>897</v>
      </c>
      <c r="T12" s="661" t="s">
        <v>879</v>
      </c>
      <c r="X12" s="97"/>
    </row>
    <row r="13" spans="2:24" ht="14.25">
      <c r="B13" s="112" t="s">
        <v>533</v>
      </c>
      <c r="C13" s="98">
        <f t="shared" ca="1" si="2"/>
        <v>4851.8040000000001</v>
      </c>
      <c r="D13" s="113">
        <f t="shared" ca="1" si="1"/>
        <v>2452683.6531299995</v>
      </c>
      <c r="E13" s="96"/>
      <c r="F13" s="96" t="s">
        <v>40</v>
      </c>
      <c r="G13" s="115">
        <f t="shared" ca="1" si="0"/>
        <v>7866.5298036710428</v>
      </c>
      <c r="I13" s="1138" t="s">
        <v>778</v>
      </c>
      <c r="J13" s="1138" t="s">
        <v>898</v>
      </c>
      <c r="L13" s="96" t="s">
        <v>899</v>
      </c>
      <c r="M13" s="415"/>
      <c r="N13" s="115">
        <f>DSUM('BD MERCADO'!A2:AAA999998,"Total",S37:S38)</f>
        <v>27525.536950000005</v>
      </c>
      <c r="P13" s="1133" t="s">
        <v>874</v>
      </c>
      <c r="Q13" s="1134"/>
      <c r="S13" s="1133" t="s">
        <v>875</v>
      </c>
      <c r="T13" s="1134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7" t="s">
        <v>901</v>
      </c>
      <c r="J14" s="1148">
        <f>CAPA!D41</f>
        <v>9791.4279999999999</v>
      </c>
      <c r="L14" s="96" t="s">
        <v>902</v>
      </c>
      <c r="M14" s="415"/>
      <c r="N14" s="115">
        <f>DSUM('BD MERCADO'!A2:AAA999998,"Total",S39:S40)</f>
        <v>0</v>
      </c>
      <c r="P14" s="1136">
        <f>DATE(YEAR(P16),MONTH(P16)-1,1)</f>
        <v>44621</v>
      </c>
      <c r="Q14" s="661"/>
      <c r="S14" s="660" t="s">
        <v>880</v>
      </c>
      <c r="T14" s="661" t="s">
        <v>879</v>
      </c>
      <c r="X14" s="97"/>
    </row>
    <row r="15" spans="2:24" ht="14.25">
      <c r="B15" s="112" t="s">
        <v>540</v>
      </c>
      <c r="C15" s="98">
        <f t="shared" ca="1" si="2"/>
        <v>4608.2020000000011</v>
      </c>
      <c r="D15" s="113">
        <f t="shared" ca="1" si="1"/>
        <v>2841213.4178200024</v>
      </c>
      <c r="E15" s="96"/>
      <c r="F15" s="96" t="s">
        <v>108</v>
      </c>
      <c r="G15" s="115">
        <f ca="1">SUM(C79:C84)</f>
        <v>2031904.167979738</v>
      </c>
      <c r="I15" s="1149" t="s">
        <v>831</v>
      </c>
      <c r="J15" s="1150">
        <f ca="1">IFERROR(Mercado_RA0_MWh/J14-1,0)</f>
        <v>-3.384817822282904E-2</v>
      </c>
      <c r="L15" s="1151" t="s">
        <v>903</v>
      </c>
      <c r="M15" s="1152"/>
      <c r="N15" s="1153">
        <f ca="1">D25-SUM(N8:N14)</f>
        <v>0</v>
      </c>
      <c r="P15" s="1133" t="s">
        <v>874</v>
      </c>
      <c r="Q15" s="1134"/>
      <c r="S15" s="1133" t="s">
        <v>904</v>
      </c>
      <c r="T15" s="1134" t="s">
        <v>876</v>
      </c>
      <c r="X15" s="97"/>
    </row>
    <row r="16" spans="2:24" ht="14.25">
      <c r="B16" s="1139" t="s">
        <v>905</v>
      </c>
      <c r="C16" s="1154">
        <f ca="1">DSUM(MercadoBase,"TUSD_E",INDIRECT("Mercado_CriterioResBr"))</f>
        <v>20.056999999999999</v>
      </c>
      <c r="D16" s="1155">
        <f ca="1">DSUM(MercadoBase,"Total",INDIRECT("Mercado_CriterioResBr"))</f>
        <v>11253.180419999999</v>
      </c>
      <c r="E16" s="96"/>
      <c r="F16" s="96" t="s">
        <v>906</v>
      </c>
      <c r="G16" s="115">
        <f ca="1">SUM(C87:C97)</f>
        <v>2588646.0271567143</v>
      </c>
      <c r="P16" s="1136">
        <f>DATE(YEAR(P18),MONTH(P18)-1,1)</f>
        <v>44652</v>
      </c>
      <c r="Q16" s="661"/>
      <c r="S16" s="660" t="s">
        <v>907</v>
      </c>
      <c r="T16" s="661" t="s">
        <v>879</v>
      </c>
      <c r="X16" s="97"/>
    </row>
    <row r="17" spans="2:24" ht="14.25">
      <c r="B17" s="1139" t="s">
        <v>908</v>
      </c>
      <c r="C17" s="1154">
        <f ca="1">DSUM(MercadoBase,"TUSD_E",INDIRECT("Mercado_Criterio"&amp;$B17))</f>
        <v>0</v>
      </c>
      <c r="D17" s="1155">
        <f ca="1">DSUM(MercadoBase,"Total",INDIRECT("Mercado_Criterio"&amp;$B17))</f>
        <v>0</v>
      </c>
      <c r="E17" s="96"/>
      <c r="F17" s="1156" t="s">
        <v>760</v>
      </c>
      <c r="G17" s="1157">
        <f ca="1">SUM(G8:G16)</f>
        <v>5294043.3112495644</v>
      </c>
      <c r="I17" s="226" t="str">
        <f>"Dado referente à "&amp;TEXT(P20,"mmmm/aaaa")</f>
        <v>Dado referente à junho/2022</v>
      </c>
      <c r="L17" s="79"/>
      <c r="P17" s="1133" t="s">
        <v>874</v>
      </c>
      <c r="Q17" s="1134"/>
      <c r="S17" s="1133" t="s">
        <v>876</v>
      </c>
      <c r="T17" s="1134"/>
      <c r="X17" s="97"/>
    </row>
    <row r="18" spans="2:24" ht="14.25">
      <c r="B18" s="1139" t="s">
        <v>909</v>
      </c>
      <c r="C18" s="1154">
        <f ca="1">DSUM(MercadoBase,"TUSD_E",INDIRECT("Mercado_Criterio"&amp;$B18))</f>
        <v>0</v>
      </c>
      <c r="D18" s="1155">
        <f ca="1">DSUM(MercadoBase,"Total",INDIRECT("Mercado_Criterio"&amp;$B18))</f>
        <v>0</v>
      </c>
      <c r="E18" s="96"/>
      <c r="I18" s="1158" t="s">
        <v>910</v>
      </c>
      <c r="J18" s="1159">
        <f>DSUM('BD MERCADO'!B2:BU724,"UC",C101:C102)</f>
        <v>1325</v>
      </c>
      <c r="L18" s="79"/>
      <c r="P18" s="1136">
        <f>DATE(YEAR(P20),MONTH(P20)-1,1)</f>
        <v>44682</v>
      </c>
      <c r="Q18" s="661"/>
      <c r="S18" s="660" t="s">
        <v>790</v>
      </c>
      <c r="T18" s="661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3" t="s">
        <v>874</v>
      </c>
      <c r="Q19" s="1134"/>
      <c r="S19" s="1133" t="s">
        <v>876</v>
      </c>
      <c r="T19" s="1134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6">
        <f>DATE(YEAR(P22),MONTH(P22)-1,1)</f>
        <v>44713</v>
      </c>
      <c r="Q20" s="661"/>
      <c r="S20" s="660" t="s">
        <v>909</v>
      </c>
      <c r="T20" s="661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4"/>
      <c r="F21" s="615"/>
      <c r="G21" s="613"/>
      <c r="L21" s="79"/>
      <c r="P21" s="1133" t="s">
        <v>874</v>
      </c>
      <c r="Q21" s="1134"/>
      <c r="S21" s="1133" t="s">
        <v>876</v>
      </c>
      <c r="T21" s="1134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6"/>
      <c r="G22" s="617"/>
      <c r="L22" s="79"/>
      <c r="M22" s="100"/>
      <c r="N22" s="97"/>
      <c r="O22" s="97"/>
      <c r="P22" s="1136">
        <f>DATE(YEAR(P24),MONTH(P24)-1,1)</f>
        <v>44743</v>
      </c>
      <c r="Q22" s="661"/>
      <c r="S22" s="660" t="s">
        <v>752</v>
      </c>
      <c r="T22" s="661"/>
      <c r="X22" s="97"/>
    </row>
    <row r="23" spans="2:24" ht="14.25">
      <c r="B23" s="1139" t="s">
        <v>915</v>
      </c>
      <c r="C23" s="1154">
        <v>0</v>
      </c>
      <c r="D23" s="1155">
        <v>0</v>
      </c>
      <c r="E23" s="614"/>
      <c r="F23" s="616"/>
      <c r="G23" s="617"/>
      <c r="L23" s="79"/>
      <c r="M23" s="100"/>
      <c r="N23" s="97"/>
      <c r="O23" s="97"/>
      <c r="P23" s="1133" t="s">
        <v>874</v>
      </c>
      <c r="Q23" s="1134"/>
      <c r="S23" s="1133" t="s">
        <v>876</v>
      </c>
      <c r="T23" s="1134"/>
      <c r="X23" s="97"/>
    </row>
    <row r="24" spans="2:24" ht="14.25">
      <c r="B24" s="1139" t="s">
        <v>916</v>
      </c>
      <c r="C24" s="1160"/>
      <c r="D24" s="1161"/>
      <c r="E24" s="614"/>
      <c r="F24" s="616"/>
      <c r="G24" s="617"/>
      <c r="L24" s="79"/>
      <c r="P24" s="1136">
        <f>SAS_RA0_DataFim</f>
        <v>44774</v>
      </c>
      <c r="Q24" s="661"/>
      <c r="S24" s="660" t="s">
        <v>913</v>
      </c>
      <c r="T24" s="661"/>
      <c r="X24" s="97"/>
    </row>
    <row r="25" spans="2:24" ht="14.25">
      <c r="B25" s="1162" t="s">
        <v>760</v>
      </c>
      <c r="C25" s="1163">
        <f ca="1">C18+C8+C24+C20+C21+SuprimentoE</f>
        <v>9460.0060000000012</v>
      </c>
      <c r="D25" s="1164">
        <f ca="1">D18+D8+D24+D20+D21+D17</f>
        <v>5293897.0709500015</v>
      </c>
      <c r="E25" s="614"/>
      <c r="N25" s="69">
        <f>SUMIFS('BD MERCADO'!$P$3:$P$6000,'BD MERCADO'!$D$3:$D$6000,"A4",'BD MERCADO'!$I$3:$I$6000,U10)</f>
        <v>175.35100000000003</v>
      </c>
      <c r="S25" s="101" t="s">
        <v>876</v>
      </c>
      <c r="T25" s="102"/>
      <c r="X25" s="97"/>
    </row>
    <row r="26" spans="2:24" ht="14.25">
      <c r="F26" s="616"/>
      <c r="G26" s="617"/>
      <c r="S26" s="660" t="s">
        <v>917</v>
      </c>
      <c r="T26" s="661"/>
      <c r="X26" s="97"/>
    </row>
    <row r="27" spans="2:24" ht="14.25">
      <c r="F27" s="616"/>
      <c r="G27" s="617"/>
      <c r="I27" s="97"/>
      <c r="S27" s="1165" t="s">
        <v>524</v>
      </c>
      <c r="T27" s="1166"/>
      <c r="X27" s="97"/>
    </row>
    <row r="28" spans="2:24" ht="14.25">
      <c r="F28" s="226"/>
      <c r="G28" s="618"/>
      <c r="I28" s="97"/>
      <c r="S28" s="1167" t="s">
        <v>889</v>
      </c>
      <c r="T28" s="1168"/>
      <c r="X28" s="97"/>
    </row>
    <row r="29" spans="2:24" ht="14.25">
      <c r="I29" s="97"/>
      <c r="S29" s="1165" t="s">
        <v>524</v>
      </c>
      <c r="T29" s="1166"/>
    </row>
    <row r="30" spans="2:24" ht="14.25">
      <c r="I30" s="97"/>
      <c r="S30" s="1167" t="s">
        <v>890</v>
      </c>
      <c r="T30" s="1168"/>
    </row>
    <row r="31" spans="2:24" ht="16.5">
      <c r="B31"/>
      <c r="C31"/>
      <c r="H31" s="97"/>
      <c r="I31" s="97"/>
      <c r="S31" s="1165" t="s">
        <v>524</v>
      </c>
      <c r="T31" s="1166"/>
      <c r="X31" s="97"/>
    </row>
    <row r="32" spans="2:24" ht="14.25">
      <c r="H32" s="97"/>
      <c r="I32" s="97"/>
      <c r="S32" s="1167" t="s">
        <v>918</v>
      </c>
      <c r="T32" s="1168"/>
      <c r="X32" s="97"/>
    </row>
    <row r="33" spans="2:24" ht="16.5">
      <c r="B33" s="1450" t="s">
        <v>919</v>
      </c>
      <c r="C33" s="1451" t="s">
        <v>920</v>
      </c>
      <c r="D33"/>
      <c r="S33" s="1165" t="s">
        <v>524</v>
      </c>
      <c r="T33" s="1166"/>
      <c r="X33" s="97"/>
    </row>
    <row r="34" spans="2:24" ht="16.5">
      <c r="B34" s="1452">
        <v>44287</v>
      </c>
      <c r="C34" s="1453">
        <v>1696.7640000000001</v>
      </c>
      <c r="D34"/>
      <c r="S34" s="1167" t="s">
        <v>894</v>
      </c>
      <c r="T34" s="1168"/>
      <c r="X34" s="97"/>
    </row>
    <row r="35" spans="2:24" ht="16.5">
      <c r="B35" s="1452">
        <v>44317</v>
      </c>
      <c r="C35" s="1453">
        <v>1488.3550000000002</v>
      </c>
      <c r="D35"/>
      <c r="S35" s="1165" t="s">
        <v>524</v>
      </c>
      <c r="T35" s="1166"/>
    </row>
    <row r="36" spans="2:24" ht="16.5">
      <c r="B36" s="1452">
        <v>44348</v>
      </c>
      <c r="C36" s="1453">
        <v>1528.0250000000001</v>
      </c>
      <c r="D36"/>
      <c r="M36" s="97"/>
      <c r="S36" s="1167" t="s">
        <v>896</v>
      </c>
      <c r="T36" s="1168"/>
    </row>
    <row r="37" spans="2:24" ht="16.5">
      <c r="B37" s="1452">
        <v>44378</v>
      </c>
      <c r="C37" s="1453">
        <v>1440.0370000000003</v>
      </c>
      <c r="D37"/>
      <c r="M37" s="97"/>
      <c r="S37" s="1165" t="s">
        <v>524</v>
      </c>
      <c r="T37" s="1166"/>
    </row>
    <row r="38" spans="2:24" ht="16.5">
      <c r="B38" s="1452">
        <v>44409</v>
      </c>
      <c r="C38" s="1453">
        <v>1402.0249999999999</v>
      </c>
      <c r="D38"/>
      <c r="M38" s="97"/>
      <c r="S38" s="1167" t="s">
        <v>899</v>
      </c>
      <c r="T38" s="1168"/>
    </row>
    <row r="39" spans="2:24" ht="16.5">
      <c r="B39" s="1452">
        <v>44440</v>
      </c>
      <c r="C39" s="1453">
        <v>1435.0720000000003</v>
      </c>
      <c r="D39"/>
      <c r="S39" s="1165" t="s">
        <v>524</v>
      </c>
      <c r="T39" s="1166"/>
    </row>
    <row r="40" spans="2:24" ht="16.5">
      <c r="B40" s="1452">
        <v>44470</v>
      </c>
      <c r="C40" s="1453">
        <v>1518.4860000000003</v>
      </c>
      <c r="D40"/>
      <c r="S40" s="1167" t="s">
        <v>921</v>
      </c>
      <c r="T40" s="1168"/>
    </row>
    <row r="41" spans="2:24" ht="16.5">
      <c r="B41" s="1452">
        <v>44501</v>
      </c>
      <c r="C41" s="1453">
        <v>1458.2800000000002</v>
      </c>
      <c r="D41"/>
      <c r="N41" s="97"/>
      <c r="O41" s="97"/>
      <c r="P41" s="97"/>
      <c r="Q41" s="97"/>
      <c r="R41" s="97"/>
      <c r="S41" s="1165" t="s">
        <v>524</v>
      </c>
      <c r="T41" s="1166"/>
    </row>
    <row r="42" spans="2:24" ht="16.5">
      <c r="B42" s="1452">
        <v>44531</v>
      </c>
      <c r="C42" s="1453">
        <v>1564.6979999999999</v>
      </c>
      <c r="D42"/>
      <c r="N42" s="97"/>
      <c r="O42" s="97"/>
      <c r="P42" s="97"/>
      <c r="Q42" s="97"/>
      <c r="R42" s="97"/>
      <c r="S42" s="1167" t="s">
        <v>922</v>
      </c>
      <c r="T42" s="1168"/>
    </row>
    <row r="43" spans="2:24" ht="16.5">
      <c r="B43" s="1452">
        <v>44562</v>
      </c>
      <c r="C43" s="1453">
        <v>1763.999</v>
      </c>
      <c r="D43"/>
      <c r="N43" s="97"/>
      <c r="O43" s="97"/>
      <c r="P43" s="97"/>
      <c r="Q43" s="97"/>
      <c r="R43" s="97"/>
      <c r="S43" s="1133" t="s">
        <v>875</v>
      </c>
      <c r="T43" s="1134" t="s">
        <v>876</v>
      </c>
    </row>
    <row r="44" spans="2:24" ht="16.5">
      <c r="B44" s="1452">
        <v>44593</v>
      </c>
      <c r="C44" s="1453">
        <v>1763.999</v>
      </c>
      <c r="D44"/>
      <c r="S44" s="660" t="s">
        <v>538</v>
      </c>
      <c r="T44" s="661" t="s">
        <v>909</v>
      </c>
    </row>
    <row r="45" spans="2:24" ht="16.5">
      <c r="B45" s="1452">
        <v>44621</v>
      </c>
      <c r="C45" s="1453">
        <v>1763.999</v>
      </c>
      <c r="D45"/>
      <c r="S45" s="1133" t="s">
        <v>875</v>
      </c>
      <c r="T45" s="1134" t="s">
        <v>876</v>
      </c>
    </row>
    <row r="46" spans="2:24" ht="16.5">
      <c r="B46" s="1452" t="s">
        <v>923</v>
      </c>
      <c r="C46" s="1453">
        <v>18823.739000000001</v>
      </c>
      <c r="D46"/>
      <c r="S46" s="660" t="s">
        <v>535</v>
      </c>
      <c r="T46" s="661" t="s">
        <v>909</v>
      </c>
    </row>
    <row r="47" spans="2:24" ht="16.5">
      <c r="B47"/>
      <c r="C47"/>
      <c r="D47"/>
      <c r="S47" s="1133" t="s">
        <v>875</v>
      </c>
      <c r="T47" s="1134" t="s">
        <v>876</v>
      </c>
    </row>
    <row r="48" spans="2:24" ht="16.5">
      <c r="B48"/>
      <c r="C48"/>
      <c r="D48"/>
      <c r="S48" s="660" t="s">
        <v>537</v>
      </c>
      <c r="T48" s="661" t="s">
        <v>909</v>
      </c>
    </row>
    <row r="49" spans="2:21" ht="16.5">
      <c r="B49"/>
      <c r="C49"/>
      <c r="D49"/>
      <c r="S49" s="1133" t="s">
        <v>875</v>
      </c>
      <c r="T49" s="1134" t="s">
        <v>876</v>
      </c>
    </row>
    <row r="50" spans="2:21" ht="16.5">
      <c r="B50"/>
      <c r="C50"/>
      <c r="D50"/>
      <c r="S50" s="660" t="s">
        <v>533</v>
      </c>
      <c r="T50" s="661" t="s">
        <v>909</v>
      </c>
    </row>
    <row r="51" spans="2:21" ht="16.5">
      <c r="B51"/>
      <c r="C51"/>
      <c r="S51" s="1133" t="s">
        <v>875</v>
      </c>
      <c r="T51" s="1134" t="s">
        <v>876</v>
      </c>
    </row>
    <row r="52" spans="2:21" ht="16.5">
      <c r="B52"/>
      <c r="C52"/>
      <c r="S52" s="660" t="s">
        <v>880</v>
      </c>
      <c r="T52" s="661" t="s">
        <v>909</v>
      </c>
    </row>
    <row r="53" spans="2:21" ht="16.5">
      <c r="B53"/>
      <c r="C53"/>
      <c r="S53" s="1133" t="s">
        <v>875</v>
      </c>
      <c r="T53" s="1134" t="s">
        <v>876</v>
      </c>
    </row>
    <row r="54" spans="2:21" ht="14.25">
      <c r="S54" s="660" t="s">
        <v>897</v>
      </c>
      <c r="T54" s="661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9" t="s">
        <v>925</v>
      </c>
      <c r="C62" s="1169"/>
      <c r="D62" s="1169" t="s">
        <v>888</v>
      </c>
      <c r="E62" s="1169" t="s">
        <v>49</v>
      </c>
      <c r="F62" s="1169" t="s">
        <v>891</v>
      </c>
      <c r="G62" s="1169" t="s">
        <v>47</v>
      </c>
      <c r="H62" s="1169" t="s">
        <v>41</v>
      </c>
      <c r="I62" s="1169" t="s">
        <v>40</v>
      </c>
      <c r="J62" s="1169" t="s">
        <v>112</v>
      </c>
      <c r="K62" s="1169" t="s">
        <v>926</v>
      </c>
      <c r="L62" s="1169" t="s">
        <v>927</v>
      </c>
      <c r="M62" s="1169" t="s">
        <v>928</v>
      </c>
      <c r="N62" s="1169" t="s">
        <v>929</v>
      </c>
      <c r="O62" s="1169" t="s">
        <v>930</v>
      </c>
      <c r="P62" s="1169" t="s">
        <v>931</v>
      </c>
      <c r="Q62" s="1169" t="s">
        <v>932</v>
      </c>
      <c r="R62" s="1169" t="s">
        <v>933</v>
      </c>
      <c r="S62" s="1169" t="s">
        <v>2029</v>
      </c>
      <c r="T62" s="1169" t="s">
        <v>1053</v>
      </c>
      <c r="U62" s="1169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4058.8024665390831</v>
      </c>
      <c r="G63" s="103">
        <f t="shared" ca="1" si="4"/>
        <v>7599.9059663576591</v>
      </c>
      <c r="H63" s="103">
        <f t="shared" ca="1" si="4"/>
        <v>45851.287022986937</v>
      </c>
      <c r="I63" s="103">
        <f t="shared" ca="1" si="4"/>
        <v>678.49271684149255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0</v>
      </c>
      <c r="O63" s="103">
        <f t="shared" ca="1" si="4"/>
        <v>4171.4724000000024</v>
      </c>
      <c r="P63" s="103">
        <f t="shared" ca="1" si="4"/>
        <v>93.09574400000001</v>
      </c>
      <c r="Q63" s="103">
        <f t="shared" ca="1" si="4"/>
        <v>72.615409999999997</v>
      </c>
      <c r="R63" s="103">
        <f t="shared" ca="1" si="4"/>
        <v>156826.5548996274</v>
      </c>
      <c r="S63" s="103">
        <f ca="1">DSUM(MercadoBase,S$62,INDIRECT("P"&amp;5+2*(ROW()-65)&amp;":P"&amp;6+2*(ROW()-65)))</f>
        <v>0</v>
      </c>
      <c r="T63" s="103">
        <f t="shared" ca="1" si="4"/>
        <v>-95674.624639581525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4004.1525878903972</v>
      </c>
      <c r="G64" s="103">
        <f t="shared" ca="1" si="4"/>
        <v>7499.1407030928949</v>
      </c>
      <c r="H64" s="103">
        <f t="shared" ca="1" si="4"/>
        <v>45146.549551376083</v>
      </c>
      <c r="I64" s="103">
        <f t="shared" ca="1" si="4"/>
        <v>663.64441152218694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0</v>
      </c>
      <c r="O64" s="103">
        <f t="shared" ca="1" si="4"/>
        <v>3898.0820000000017</v>
      </c>
      <c r="P64" s="103">
        <f t="shared" ca="1" si="4"/>
        <v>120.96322000000001</v>
      </c>
      <c r="Q64" s="103">
        <f t="shared" ca="1" si="4"/>
        <v>56.33305</v>
      </c>
      <c r="R64" s="103">
        <f t="shared" ca="1" si="4"/>
        <v>145688.76138610518</v>
      </c>
      <c r="S64" s="103">
        <f t="shared" ca="1" si="4"/>
        <v>0</v>
      </c>
      <c r="T64" s="103">
        <f t="shared" ca="1" si="4"/>
        <v>-88879.830132991701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3947.8222343357315</v>
      </c>
      <c r="G65" s="103">
        <f t="shared" ca="1" si="4"/>
        <v>7393.7844710239106</v>
      </c>
      <c r="H65" s="103">
        <f t="shared" ca="1" si="4"/>
        <v>44417.19439511891</v>
      </c>
      <c r="I65" s="103">
        <f t="shared" ca="1" si="4"/>
        <v>648.73271392593506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0</v>
      </c>
      <c r="O65" s="103">
        <f t="shared" ca="1" si="4"/>
        <v>3727.5816800000021</v>
      </c>
      <c r="P65" s="103">
        <f t="shared" ca="1" si="4"/>
        <v>141.17479600000001</v>
      </c>
      <c r="Q65" s="103">
        <f t="shared" ca="1" si="4"/>
        <v>46.834389999999999</v>
      </c>
      <c r="R65" s="103">
        <f t="shared" ca="1" si="4"/>
        <v>145774.78036598489</v>
      </c>
      <c r="S65" s="103">
        <f t="shared" ca="1" si="4"/>
        <v>0</v>
      </c>
      <c r="T65" s="103">
        <f t="shared" ca="1" si="4"/>
        <v>-88932.307429436361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3715.387714784943</v>
      </c>
      <c r="G66" s="103">
        <f t="shared" ca="1" si="4"/>
        <v>6955.9481485167998</v>
      </c>
      <c r="H66" s="103">
        <f t="shared" ca="1" si="4"/>
        <v>42241.929219946804</v>
      </c>
      <c r="I66" s="103">
        <f t="shared" ca="1" si="4"/>
        <v>637.26641617294183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0</v>
      </c>
      <c r="O66" s="103">
        <f t="shared" ca="1" si="4"/>
        <v>4131.9952800000019</v>
      </c>
      <c r="P66" s="103">
        <f t="shared" ca="1" si="4"/>
        <v>169.65474400000005</v>
      </c>
      <c r="Q66" s="103">
        <f t="shared" ca="1" si="4"/>
        <v>71.217669999999998</v>
      </c>
      <c r="R66" s="103">
        <f t="shared" ca="1" si="4"/>
        <v>149791.83187691233</v>
      </c>
      <c r="S66" s="103">
        <f t="shared" ca="1" si="4"/>
        <v>0</v>
      </c>
      <c r="T66" s="103">
        <f t="shared" ca="1" si="4"/>
        <v>-91382.975912920068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3604.3433711062739</v>
      </c>
      <c r="G67" s="103">
        <f t="shared" ca="1" si="4"/>
        <v>6747.2847528650309</v>
      </c>
      <c r="H67" s="103">
        <f t="shared" ca="1" si="4"/>
        <v>40767.624780399536</v>
      </c>
      <c r="I67" s="103">
        <f t="shared" ca="1" si="4"/>
        <v>606.10010586990984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0</v>
      </c>
      <c r="O67" s="103">
        <f t="shared" ca="1" si="4"/>
        <v>4136.7597600000017</v>
      </c>
      <c r="P67" s="103">
        <f t="shared" ca="1" si="4"/>
        <v>101.05788000000003</v>
      </c>
      <c r="Q67" s="103">
        <f t="shared" ca="1" si="4"/>
        <v>89.722219999999993</v>
      </c>
      <c r="R67" s="103">
        <f t="shared" ca="1" si="4"/>
        <v>145639.75875731595</v>
      </c>
      <c r="S67" s="103">
        <f t="shared" ca="1" si="4"/>
        <v>0</v>
      </c>
      <c r="T67" s="103">
        <f t="shared" ca="1" si="4"/>
        <v>-88849.93527163504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4254.5423432109883</v>
      </c>
      <c r="G68" s="103">
        <f t="shared" ca="1" si="4"/>
        <v>7962.7852057334112</v>
      </c>
      <c r="H68" s="103">
        <f t="shared" ca="1" si="4"/>
        <v>48291.112736901319</v>
      </c>
      <c r="I68" s="103">
        <f t="shared" ca="1" si="4"/>
        <v>725.98700407541514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0</v>
      </c>
      <c r="O68" s="103">
        <f t="shared" ca="1" si="4"/>
        <v>4606.9685600000021</v>
      </c>
      <c r="P68" s="103">
        <f t="shared" ca="1" si="4"/>
        <v>24.498880000000003</v>
      </c>
      <c r="Q68" s="103">
        <f t="shared" ca="1" si="4"/>
        <v>113.11885999999998</v>
      </c>
      <c r="R68" s="103">
        <f t="shared" ca="1" si="4"/>
        <v>174447.87178870008</v>
      </c>
      <c r="S68" s="103">
        <f t="shared" ca="1" si="4"/>
        <v>0</v>
      </c>
      <c r="T68" s="103">
        <f t="shared" ca="1" si="4"/>
        <v>-106424.79944318013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4346.0578286727405</v>
      </c>
      <c r="G69" s="103">
        <f t="shared" ca="1" si="4"/>
        <v>8129.9418898901376</v>
      </c>
      <c r="H69" s="103">
        <f t="shared" ca="1" si="4"/>
        <v>48855.172585573186</v>
      </c>
      <c r="I69" s="103">
        <f t="shared" ca="1" si="4"/>
        <v>715.35111930185587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0</v>
      </c>
      <c r="O69" s="103">
        <f t="shared" ca="1" si="4"/>
        <v>3999.1003200000023</v>
      </c>
      <c r="P69" s="103">
        <f t="shared" ca="1" si="4"/>
        <v>30.929836000000005</v>
      </c>
      <c r="Q69" s="103">
        <f t="shared" ca="1" si="4"/>
        <v>196.26348000000002</v>
      </c>
      <c r="R69" s="103">
        <f t="shared" ca="1" si="4"/>
        <v>166964.42381314919</v>
      </c>
      <c r="S69" s="103">
        <f t="shared" ca="1" si="4"/>
        <v>0</v>
      </c>
      <c r="T69" s="103">
        <f t="shared" ca="1" si="4"/>
        <v>-101859.39866313421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3507.0804804454388</v>
      </c>
      <c r="G70" s="103">
        <f t="shared" ca="1" si="4"/>
        <v>6556.1555222429233</v>
      </c>
      <c r="H70" s="103">
        <f t="shared" ca="1" si="4"/>
        <v>39466.235582182657</v>
      </c>
      <c r="I70" s="103">
        <f t="shared" ca="1" si="4"/>
        <v>581.38322678670386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0</v>
      </c>
      <c r="O70" s="103">
        <f t="shared" ca="1" si="4"/>
        <v>3345.0620000000013</v>
      </c>
      <c r="P70" s="103">
        <f t="shared" ca="1" si="4"/>
        <v>19.90534000000001</v>
      </c>
      <c r="Q70" s="103">
        <f t="shared" ca="1" si="4"/>
        <v>219.61872999999997</v>
      </c>
      <c r="R70" s="103">
        <f t="shared" ca="1" si="4"/>
        <v>144401.27719640115</v>
      </c>
      <c r="S70" s="103">
        <f t="shared" ca="1" si="4"/>
        <v>0</v>
      </c>
      <c r="T70" s="103">
        <f t="shared" ca="1" si="4"/>
        <v>-88094.379182684381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3887.5099296199528</v>
      </c>
      <c r="G71" s="103">
        <f t="shared" ca="1" si="4"/>
        <v>7265.8606872529062</v>
      </c>
      <c r="H71" s="103">
        <f t="shared" ca="1" si="4"/>
        <v>43554.851669887183</v>
      </c>
      <c r="I71" s="103">
        <f t="shared" ca="1" si="4"/>
        <v>633.72828801439994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0</v>
      </c>
      <c r="O71" s="103">
        <f t="shared" ca="1" si="4"/>
        <v>3447.4416000000015</v>
      </c>
      <c r="P71" s="103">
        <f t="shared" ca="1" si="4"/>
        <v>38.891972000000003</v>
      </c>
      <c r="Q71" s="103">
        <f t="shared" ca="1" si="4"/>
        <v>263.98607999999996</v>
      </c>
      <c r="R71" s="103">
        <f t="shared" ca="1" si="4"/>
        <v>145556.05933834706</v>
      </c>
      <c r="S71" s="103">
        <f t="shared" ca="1" si="4"/>
        <v>0</v>
      </c>
      <c r="T71" s="103">
        <f t="shared" ca="1" si="4"/>
        <v>-88798.873061555059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3890.6916187185693</v>
      </c>
      <c r="G72" s="103">
        <f t="shared" ca="1" si="4"/>
        <v>7256.7555484863296</v>
      </c>
      <c r="H72" s="103">
        <f t="shared" ca="1" si="4"/>
        <v>43994.132283430714</v>
      </c>
      <c r="I72" s="103">
        <f t="shared" ca="1" si="4"/>
        <v>663.60595664346499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0</v>
      </c>
      <c r="O72" s="103">
        <f t="shared" ca="1" si="4"/>
        <v>3899.7268800000015</v>
      </c>
      <c r="P72" s="103">
        <f t="shared" ca="1" si="4"/>
        <v>43.179276000000002</v>
      </c>
      <c r="Q72" s="103">
        <f t="shared" ca="1" si="4"/>
        <v>399.96527000000003</v>
      </c>
      <c r="R72" s="103">
        <f t="shared" ca="1" si="4"/>
        <v>158143.72957714385</v>
      </c>
      <c r="S72" s="103">
        <f t="shared" ca="1" si="4"/>
        <v>0</v>
      </c>
      <c r="T72" s="103">
        <f t="shared" ca="1" si="4"/>
        <v>-96478.188761338868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3754.4713272264562</v>
      </c>
      <c r="G73" s="103">
        <f t="shared" ca="1" si="4"/>
        <v>7004.0407140702728</v>
      </c>
      <c r="H73" s="103">
        <f t="shared" ca="1" si="4"/>
        <v>42260.500102724633</v>
      </c>
      <c r="I73" s="103">
        <f t="shared" ca="1" si="4"/>
        <v>628.52929793855162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0</v>
      </c>
      <c r="O73" s="103">
        <f t="shared" ca="1" si="4"/>
        <v>3567.120800000002</v>
      </c>
      <c r="P73" s="103">
        <f t="shared" ca="1" si="4"/>
        <v>32.767252000000006</v>
      </c>
      <c r="Q73" s="103">
        <f t="shared" ca="1" si="4"/>
        <v>406.17732999999993</v>
      </c>
      <c r="R73" s="103">
        <f t="shared" ca="1" si="4"/>
        <v>148727.08238072033</v>
      </c>
      <c r="S73" s="103">
        <f t="shared" ca="1" si="4"/>
        <v>0</v>
      </c>
      <c r="T73" s="103">
        <f t="shared" ca="1" si="4"/>
        <v>-90733.40793351407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4062.0477642779178</v>
      </c>
      <c r="G74" s="103">
        <f t="shared" ca="1" si="4"/>
        <v>7579.4520318616896</v>
      </c>
      <c r="H74" s="103">
        <f t="shared" ca="1" si="4"/>
        <v>45796.031070690493</v>
      </c>
      <c r="I74" s="103">
        <f t="shared" ca="1" si="4"/>
        <v>683.7085465781837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0</v>
      </c>
      <c r="O74" s="103">
        <f t="shared" ca="1" si="4"/>
        <v>3966.769920000002</v>
      </c>
      <c r="P74" s="103">
        <f t="shared" ca="1" si="4"/>
        <v>36.442084000000001</v>
      </c>
      <c r="Q74" s="103">
        <f t="shared" ca="1" si="4"/>
        <v>407.94401999999997</v>
      </c>
      <c r="R74" s="103">
        <f t="shared" ca="1" si="4"/>
        <v>156637.53471340757</v>
      </c>
      <c r="S74" s="103">
        <f t="shared" ca="1" si="4"/>
        <v>0</v>
      </c>
      <c r="T74" s="103">
        <f t="shared" ca="1" si="4"/>
        <v>-95559.309759538039</v>
      </c>
      <c r="U74" s="103">
        <f t="shared" ca="1" si="4"/>
        <v>0</v>
      </c>
    </row>
    <row r="75" spans="2:21" ht="14.25">
      <c r="B75" s="1170" t="s">
        <v>934</v>
      </c>
      <c r="C75" s="1171"/>
      <c r="D75" s="1171">
        <f t="shared" ref="D75:Q75" ca="1" si="5">SUM(D63:D74)</f>
        <v>0</v>
      </c>
      <c r="E75" s="1171">
        <f t="shared" ca="1" si="5"/>
        <v>0</v>
      </c>
      <c r="F75" s="1171">
        <f t="shared" ca="1" si="5"/>
        <v>47032.909666828491</v>
      </c>
      <c r="G75" s="1171">
        <f t="shared" ca="1" si="5"/>
        <v>87951.055641393963</v>
      </c>
      <c r="H75" s="1171">
        <f t="shared" ca="1" si="5"/>
        <v>530642.62100121856</v>
      </c>
      <c r="I75" s="1171">
        <f t="shared" ca="1" si="5"/>
        <v>7866.529803671041</v>
      </c>
      <c r="J75" s="1171">
        <f t="shared" ca="1" si="5"/>
        <v>0</v>
      </c>
      <c r="K75" s="1171">
        <f t="shared" ca="1" si="5"/>
        <v>0</v>
      </c>
      <c r="L75" s="1171">
        <f t="shared" ca="1" si="5"/>
        <v>0</v>
      </c>
      <c r="M75" s="1171">
        <f t="shared" ca="1" si="5"/>
        <v>0</v>
      </c>
      <c r="N75" s="1171">
        <f t="shared" ca="1" si="5"/>
        <v>0</v>
      </c>
      <c r="O75" s="1171">
        <f t="shared" ca="1" si="5"/>
        <v>46898.081200000022</v>
      </c>
      <c r="P75" s="1171">
        <f t="shared" ca="1" si="5"/>
        <v>852.56102400000009</v>
      </c>
      <c r="Q75" s="1171">
        <f t="shared" ca="1" si="5"/>
        <v>2343.7965099999997</v>
      </c>
      <c r="R75" s="1171">
        <f t="shared" ref="R75:S75" ca="1" si="6">SUM(R63:R74)</f>
        <v>1838599.6660938149</v>
      </c>
      <c r="S75" s="1171">
        <f t="shared" ca="1" si="6"/>
        <v>0</v>
      </c>
      <c r="T75" s="1171">
        <f t="shared" ref="T75:U75" ca="1" si="7">SUM(T63:T74)</f>
        <v>-1121668.0301915095</v>
      </c>
      <c r="U75" s="1171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3" t="s">
        <v>937</v>
      </c>
      <c r="C79" s="1174">
        <f t="shared" ref="C79:C84" ca="1" si="8">SUM(INDIRECT("dados_MercadoBase["&amp;B79&amp;"]"))</f>
        <v>1879462.0131190158</v>
      </c>
      <c r="J79" s="94" t="s">
        <v>938</v>
      </c>
      <c r="K79" s="1175"/>
      <c r="L79" s="1175"/>
      <c r="M79" s="1175">
        <f>SUMIFS(M63:M74,$B$63:$B$74,42826)</f>
        <v>0</v>
      </c>
      <c r="N79" s="1175">
        <f>SUMIFS(N63:N74,$B$63:$B$74,42826)</f>
        <v>0</v>
      </c>
      <c r="O79" s="1175">
        <f>SUMIFS(O63:O74,$B$63:$B$74,42826)</f>
        <v>0</v>
      </c>
      <c r="P79" s="1175">
        <f>SUMIFS(P63:P74,$B$63:$B$74,42826)</f>
        <v>0</v>
      </c>
      <c r="Q79" s="1175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152442.15486072219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6"/>
      <c r="C85" s="1177"/>
    </row>
    <row r="86" spans="2:13" ht="14.25"/>
    <row r="87" spans="2:13" ht="14.25">
      <c r="B87" s="1173" t="s">
        <v>943</v>
      </c>
      <c r="C87" s="1174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750046.36106290016</v>
      </c>
      <c r="E96" s="105"/>
      <c r="G96" s="105"/>
    </row>
    <row r="97" spans="1:7" ht="14.25">
      <c r="B97" s="1176" t="s">
        <v>953</v>
      </c>
      <c r="C97" s="1177">
        <f t="shared" ca="1" si="9"/>
        <v>1838599.6660938144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5" t="s">
        <v>955</v>
      </c>
      <c r="C101" s="1166" t="s">
        <v>874</v>
      </c>
      <c r="D101" s="230"/>
    </row>
    <row r="102" spans="1:7" ht="12.75" customHeight="1">
      <c r="A102" s="230"/>
      <c r="B102" s="1167" t="s">
        <v>956</v>
      </c>
      <c r="C102" s="1178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7" t="s">
        <v>778</v>
      </c>
      <c r="C111" s="1137" t="s">
        <v>108</v>
      </c>
      <c r="D111" s="1137" t="s">
        <v>884</v>
      </c>
    </row>
    <row r="112" spans="1:7" ht="12.75" customHeight="1">
      <c r="B112" s="1139" t="s">
        <v>909</v>
      </c>
      <c r="C112" s="1140"/>
      <c r="D112" s="1141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2" t="s">
        <v>769</v>
      </c>
      <c r="C120" s="1163">
        <f ca="1">SUM(C114:C119)</f>
        <v>0</v>
      </c>
      <c r="D120" s="1164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A3" sqref="A3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89"/>
      <c r="S1" s="489"/>
      <c r="T1" s="489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1823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2329</v>
      </c>
      <c r="K3" s="789">
        <v>44440</v>
      </c>
      <c r="L3" s="399">
        <v>0</v>
      </c>
      <c r="M3" s="399">
        <v>0</v>
      </c>
      <c r="N3" s="399">
        <v>209.845</v>
      </c>
      <c r="O3" s="399">
        <v>209.845</v>
      </c>
      <c r="P3" s="399">
        <v>209.845</v>
      </c>
      <c r="Q3" s="399">
        <v>209.845</v>
      </c>
      <c r="R3" s="399"/>
      <c r="S3" s="399">
        <v>425.49</v>
      </c>
      <c r="T3" s="399">
        <v>205.96</v>
      </c>
      <c r="U3" s="399"/>
      <c r="V3" s="399">
        <v>132506.62524999998</v>
      </c>
      <c r="W3" s="399">
        <v>132506.62524999998</v>
      </c>
      <c r="X3" s="399">
        <v>99168.550099999993</v>
      </c>
      <c r="Y3" s="399">
        <v>0</v>
      </c>
      <c r="Z3" s="399">
        <v>12795.110800518831</v>
      </c>
      <c r="AA3" s="399">
        <v>0</v>
      </c>
      <c r="AB3" s="399">
        <v>0</v>
      </c>
      <c r="AC3" s="399">
        <v>0</v>
      </c>
      <c r="AD3" s="399">
        <v>17010.513259554235</v>
      </c>
      <c r="AE3" s="399">
        <v>52259.465181470616</v>
      </c>
      <c r="AF3" s="399">
        <v>42165.37015308562</v>
      </c>
      <c r="AG3" s="399">
        <v>1055.1743167117047</v>
      </c>
      <c r="AH3" s="399">
        <v>0</v>
      </c>
      <c r="AI3" s="399">
        <v>0</v>
      </c>
      <c r="AJ3" s="399">
        <v>0</v>
      </c>
      <c r="AK3" s="399">
        <v>0</v>
      </c>
      <c r="AL3" s="399">
        <v>1977.4052724164796</v>
      </c>
      <c r="AM3" s="399"/>
      <c r="AN3" s="399">
        <v>227.04246101153603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5017.9114260939677</v>
      </c>
      <c r="BH3" s="399">
        <v>0</v>
      </c>
      <c r="BI3" s="399">
        <v>569.83000000000004</v>
      </c>
      <c r="BJ3" s="399">
        <v>2643.15</v>
      </c>
      <c r="BK3" s="399">
        <v>29445.75</v>
      </c>
      <c r="BL3" s="399">
        <v>932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47183.281579179587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99170.913</v>
      </c>
      <c r="CJ3" s="399">
        <v>-33335.74225000001</v>
      </c>
      <c r="CK3" s="399"/>
      <c r="CL3" s="399"/>
      <c r="CM3" s="399"/>
      <c r="CN3" s="399"/>
      <c r="CO3" s="399">
        <v>-35667.354650000001</v>
      </c>
      <c r="CP3" s="399">
        <v>2329.2794999999987</v>
      </c>
      <c r="CQ3" s="399">
        <v>30</v>
      </c>
      <c r="CR3" s="399">
        <v>-1458.0525983516854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-2125.1544145091812</v>
      </c>
      <c r="DA3" s="399">
        <v>0</v>
      </c>
      <c r="DB3" s="399">
        <v>0</v>
      </c>
      <c r="DC3" s="399">
        <v>2328.6750247681703</v>
      </c>
      <c r="DD3" s="399">
        <v>0</v>
      </c>
      <c r="DE3" s="399">
        <v>0</v>
      </c>
      <c r="DF3" s="399">
        <v>0</v>
      </c>
      <c r="DG3" s="399">
        <v>277.12516152522949</v>
      </c>
      <c r="DH3" s="399">
        <v>0</v>
      </c>
      <c r="DI3" s="399">
        <v>-1676.7353394800975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-220.77442597912227</v>
      </c>
      <c r="DP3" s="399">
        <v>-41.188604676683639</v>
      </c>
      <c r="DQ3" s="399">
        <v>0</v>
      </c>
      <c r="DR3" s="399">
        <v>0</v>
      </c>
      <c r="DS3" s="399"/>
      <c r="DT3" s="399"/>
      <c r="DU3" s="399"/>
      <c r="DV3" s="399">
        <v>52259.465181470616</v>
      </c>
      <c r="DW3" s="399">
        <v>0</v>
      </c>
      <c r="DX3" s="399">
        <v>0</v>
      </c>
      <c r="DY3" s="399">
        <v>-35667.354649999994</v>
      </c>
      <c r="DZ3" s="399">
        <v>2329.2794999999969</v>
      </c>
      <c r="EA3" s="399">
        <v>0</v>
      </c>
      <c r="EB3" s="399">
        <v>0</v>
      </c>
      <c r="EC3" s="399">
        <v>-31881.748077055796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227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956</v>
      </c>
      <c r="C4" s="399" t="s">
        <v>2328</v>
      </c>
      <c r="D4" s="399" t="s">
        <v>1823</v>
      </c>
      <c r="E4" s="399" t="s">
        <v>889</v>
      </c>
      <c r="F4" s="399" t="s">
        <v>2330</v>
      </c>
      <c r="G4" s="399" t="s">
        <v>1239</v>
      </c>
      <c r="H4" s="399" t="s">
        <v>1239</v>
      </c>
      <c r="I4" s="399" t="s">
        <v>1239</v>
      </c>
      <c r="J4" s="399" t="s">
        <v>2329</v>
      </c>
      <c r="K4" s="789">
        <v>44440</v>
      </c>
      <c r="L4" s="399">
        <v>0</v>
      </c>
      <c r="M4" s="399">
        <v>0</v>
      </c>
      <c r="N4" s="399">
        <v>0.09</v>
      </c>
      <c r="O4" s="399">
        <v>0.09</v>
      </c>
      <c r="P4" s="399">
        <v>0.09</v>
      </c>
      <c r="Q4" s="399">
        <v>0.09</v>
      </c>
      <c r="R4" s="399"/>
      <c r="S4" s="399">
        <v>355.1</v>
      </c>
      <c r="T4" s="399">
        <v>205.96</v>
      </c>
      <c r="U4" s="399"/>
      <c r="V4" s="399">
        <v>50.495400000000004</v>
      </c>
      <c r="W4" s="399">
        <v>50.495400000000004</v>
      </c>
      <c r="X4" s="399">
        <v>37.009799999999998</v>
      </c>
      <c r="Y4" s="399">
        <v>0</v>
      </c>
      <c r="Z4" s="399">
        <v>0</v>
      </c>
      <c r="AA4" s="399">
        <v>0</v>
      </c>
      <c r="AB4" s="399">
        <v>0</v>
      </c>
      <c r="AC4" s="399">
        <v>0</v>
      </c>
      <c r="AD4" s="399">
        <v>7.2956048195567247</v>
      </c>
      <c r="AE4" s="399">
        <v>22.413456915019921</v>
      </c>
      <c r="AF4" s="399">
        <v>18.084220800008129</v>
      </c>
      <c r="AG4" s="399">
        <v>0.45255159047894122</v>
      </c>
      <c r="AH4" s="399">
        <v>0</v>
      </c>
      <c r="AI4" s="399">
        <v>0</v>
      </c>
      <c r="AJ4" s="399">
        <v>0</v>
      </c>
      <c r="AK4" s="399">
        <v>0</v>
      </c>
      <c r="AL4" s="399">
        <v>0</v>
      </c>
      <c r="AM4" s="399"/>
      <c r="AN4" s="399">
        <v>9.7375784464906204E-2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2.1521219392811699</v>
      </c>
      <c r="BH4" s="399">
        <v>0</v>
      </c>
      <c r="BI4" s="399">
        <v>0.06</v>
      </c>
      <c r="BJ4" s="399">
        <v>0.21</v>
      </c>
      <c r="BK4" s="399">
        <v>1.89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>
        <v>24.056100000000001</v>
      </c>
      <c r="BU4" s="399"/>
      <c r="BV4" s="399">
        <v>20.236342739289299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12.9537</v>
      </c>
      <c r="CJ4" s="399">
        <v>-4.7496000000000027</v>
      </c>
      <c r="CK4" s="399"/>
      <c r="CL4" s="399"/>
      <c r="CM4" s="399"/>
      <c r="CN4" s="399"/>
      <c r="CO4" s="399">
        <v>-14.484600000000002</v>
      </c>
      <c r="CP4" s="399">
        <v>0.99899999999999944</v>
      </c>
      <c r="CQ4" s="399">
        <v>30</v>
      </c>
      <c r="CR4" s="399">
        <v>0.18847790054411107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-0.91145320262968443</v>
      </c>
      <c r="DA4" s="399">
        <v>0</v>
      </c>
      <c r="DB4" s="399">
        <v>0</v>
      </c>
      <c r="DC4" s="399">
        <v>0.99874074783356903</v>
      </c>
      <c r="DD4" s="399">
        <v>0</v>
      </c>
      <c r="DE4" s="399">
        <v>0</v>
      </c>
      <c r="DF4" s="399">
        <v>0</v>
      </c>
      <c r="DG4" s="399">
        <v>0.11885565315957303</v>
      </c>
      <c r="DH4" s="399">
        <v>0</v>
      </c>
      <c r="DI4" s="399">
        <v>0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</v>
      </c>
      <c r="DP4" s="399">
        <v>-1.7665297819350126E-2</v>
      </c>
      <c r="DQ4" s="399">
        <v>0</v>
      </c>
      <c r="DR4" s="399">
        <v>0</v>
      </c>
      <c r="DS4" s="399"/>
      <c r="DT4" s="399"/>
      <c r="DU4" s="399"/>
      <c r="DV4" s="399">
        <v>22.413456915019921</v>
      </c>
      <c r="DW4" s="399">
        <v>0</v>
      </c>
      <c r="DX4" s="399">
        <v>0</v>
      </c>
      <c r="DY4" s="399">
        <v>-14.4846</v>
      </c>
      <c r="DZ4" s="399">
        <v>0.99899999999999878</v>
      </c>
      <c r="EA4" s="399">
        <v>0</v>
      </c>
      <c r="EB4" s="399">
        <v>0</v>
      </c>
      <c r="EC4" s="399">
        <v>-13.673698810717537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227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956</v>
      </c>
      <c r="C5" s="399" t="s">
        <v>2328</v>
      </c>
      <c r="D5" s="399" t="s">
        <v>1823</v>
      </c>
      <c r="E5" s="399" t="s">
        <v>889</v>
      </c>
      <c r="F5" s="399" t="s">
        <v>2331</v>
      </c>
      <c r="G5" s="399" t="s">
        <v>1239</v>
      </c>
      <c r="H5" s="399" t="s">
        <v>1239</v>
      </c>
      <c r="I5" s="399" t="s">
        <v>1239</v>
      </c>
      <c r="J5" s="399" t="s">
        <v>2329</v>
      </c>
      <c r="K5" s="789">
        <v>44440</v>
      </c>
      <c r="L5" s="399">
        <v>0</v>
      </c>
      <c r="M5" s="399">
        <v>0</v>
      </c>
      <c r="N5" s="399">
        <v>0.21</v>
      </c>
      <c r="O5" s="399">
        <v>0.21</v>
      </c>
      <c r="P5" s="399">
        <v>0.21</v>
      </c>
      <c r="Q5" s="399">
        <v>0.21</v>
      </c>
      <c r="R5" s="399"/>
      <c r="S5" s="399">
        <v>355.1</v>
      </c>
      <c r="T5" s="399">
        <v>205.96</v>
      </c>
      <c r="U5" s="399"/>
      <c r="V5" s="399">
        <v>117.82259999999999</v>
      </c>
      <c r="W5" s="399">
        <v>117.82259999999999</v>
      </c>
      <c r="X5" s="399">
        <v>86.356200000000001</v>
      </c>
      <c r="Y5" s="399">
        <v>0</v>
      </c>
      <c r="Z5" s="399">
        <v>0</v>
      </c>
      <c r="AA5" s="399">
        <v>0</v>
      </c>
      <c r="AB5" s="399">
        <v>0</v>
      </c>
      <c r="AC5" s="399">
        <v>0</v>
      </c>
      <c r="AD5" s="399">
        <v>17.023077912299026</v>
      </c>
      <c r="AE5" s="399">
        <v>52.298066135046483</v>
      </c>
      <c r="AF5" s="399">
        <v>42.196515200018965</v>
      </c>
      <c r="AG5" s="399">
        <v>1.0559537111175297</v>
      </c>
      <c r="AH5" s="399">
        <v>0</v>
      </c>
      <c r="AI5" s="399">
        <v>0</v>
      </c>
      <c r="AJ5" s="399">
        <v>0</v>
      </c>
      <c r="AK5" s="399">
        <v>0</v>
      </c>
      <c r="AL5" s="399">
        <v>0</v>
      </c>
      <c r="AM5" s="399"/>
      <c r="AN5" s="399">
        <v>0.22721016375144781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5.0216178583227302</v>
      </c>
      <c r="BH5" s="399">
        <v>0</v>
      </c>
      <c r="BI5" s="399">
        <v>0.21</v>
      </c>
      <c r="BJ5" s="399">
        <v>0.93</v>
      </c>
      <c r="BK5" s="399">
        <v>7.59</v>
      </c>
      <c r="BL5" s="399">
        <v>0</v>
      </c>
      <c r="BM5" s="399"/>
      <c r="BN5" s="399"/>
      <c r="BO5" s="399"/>
      <c r="BP5" s="399"/>
      <c r="BQ5" s="399"/>
      <c r="BR5" s="399"/>
      <c r="BS5" s="399"/>
      <c r="BT5" s="399">
        <v>34.540799999999997</v>
      </c>
      <c r="BU5" s="399"/>
      <c r="BV5" s="399">
        <v>47.218133058341692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51.815399999999997</v>
      </c>
      <c r="CJ5" s="399">
        <v>-18.908999999999992</v>
      </c>
      <c r="CK5" s="399"/>
      <c r="CL5" s="399"/>
      <c r="CM5" s="399"/>
      <c r="CN5" s="399"/>
      <c r="CO5" s="399">
        <v>-33.797400000000003</v>
      </c>
      <c r="CP5" s="399">
        <v>2.3309999999999986</v>
      </c>
      <c r="CQ5" s="399">
        <v>30</v>
      </c>
      <c r="CR5" s="399">
        <v>0.43978176793623902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-2.1267241394692658</v>
      </c>
      <c r="DA5" s="399">
        <v>0</v>
      </c>
      <c r="DB5" s="399">
        <v>0</v>
      </c>
      <c r="DC5" s="399">
        <v>2.3303950782783289</v>
      </c>
      <c r="DD5" s="399">
        <v>0</v>
      </c>
      <c r="DE5" s="399">
        <v>0</v>
      </c>
      <c r="DF5" s="399">
        <v>0</v>
      </c>
      <c r="DG5" s="399">
        <v>0.27732985737233662</v>
      </c>
      <c r="DH5" s="399">
        <v>0</v>
      </c>
      <c r="DI5" s="399">
        <v>0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0</v>
      </c>
      <c r="DP5" s="399">
        <v>-4.1219028245150308E-2</v>
      </c>
      <c r="DQ5" s="399">
        <v>0</v>
      </c>
      <c r="DR5" s="399">
        <v>0</v>
      </c>
      <c r="DS5" s="399"/>
      <c r="DT5" s="399"/>
      <c r="DU5" s="399"/>
      <c r="DV5" s="399">
        <v>52.298066135046483</v>
      </c>
      <c r="DW5" s="399">
        <v>0</v>
      </c>
      <c r="DX5" s="399">
        <v>0</v>
      </c>
      <c r="DY5" s="399">
        <v>-33.797400000000003</v>
      </c>
      <c r="DZ5" s="399">
        <v>2.330999999999996</v>
      </c>
      <c r="EA5" s="399">
        <v>0</v>
      </c>
      <c r="EB5" s="399">
        <v>0</v>
      </c>
      <c r="EC5" s="399">
        <v>-31.905297225007587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227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1823</v>
      </c>
      <c r="E6" s="399" t="s">
        <v>889</v>
      </c>
      <c r="F6" s="399" t="s">
        <v>2332</v>
      </c>
      <c r="G6" s="399" t="s">
        <v>1239</v>
      </c>
      <c r="H6" s="399" t="s">
        <v>1239</v>
      </c>
      <c r="I6" s="399" t="s">
        <v>1239</v>
      </c>
      <c r="J6" s="399" t="s">
        <v>2329</v>
      </c>
      <c r="K6" s="789">
        <v>44440</v>
      </c>
      <c r="L6" s="399">
        <v>0</v>
      </c>
      <c r="M6" s="399">
        <v>0</v>
      </c>
      <c r="N6" s="399">
        <v>0.34100000000000003</v>
      </c>
      <c r="O6" s="399">
        <v>0.34100000000000003</v>
      </c>
      <c r="P6" s="399">
        <v>0.34100000000000003</v>
      </c>
      <c r="Q6" s="399">
        <v>0.34100000000000003</v>
      </c>
      <c r="R6" s="399"/>
      <c r="S6" s="399">
        <v>355.1</v>
      </c>
      <c r="T6" s="399">
        <v>205.96</v>
      </c>
      <c r="U6" s="399"/>
      <c r="V6" s="399">
        <v>191.32146000000003</v>
      </c>
      <c r="W6" s="399">
        <v>191.32146000000003</v>
      </c>
      <c r="X6" s="399">
        <v>140.22602000000001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27.642236038542706</v>
      </c>
      <c r="AE6" s="399">
        <v>84.922097866908814</v>
      </c>
      <c r="AF6" s="399">
        <v>68.519103253364136</v>
      </c>
      <c r="AG6" s="399">
        <v>1.7146676928146554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0.36894602780592245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8.1541509032764345</v>
      </c>
      <c r="BH6" s="399">
        <v>0</v>
      </c>
      <c r="BI6" s="399">
        <v>0.63</v>
      </c>
      <c r="BJ6" s="399">
        <v>3.03</v>
      </c>
      <c r="BK6" s="399">
        <v>39.26</v>
      </c>
      <c r="BL6" s="399">
        <v>2</v>
      </c>
      <c r="BM6" s="399"/>
      <c r="BN6" s="399"/>
      <c r="BO6" s="399"/>
      <c r="BP6" s="399"/>
      <c r="BQ6" s="399"/>
      <c r="BR6" s="399"/>
      <c r="BS6" s="399"/>
      <c r="BT6" s="399">
        <v>14.018509999999996</v>
      </c>
      <c r="BU6" s="399"/>
      <c r="BV6" s="399">
        <v>76.673254156640567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125.83740000000002</v>
      </c>
      <c r="CJ6" s="399">
        <v>-46.383959999999988</v>
      </c>
      <c r="CK6" s="399"/>
      <c r="CL6" s="399"/>
      <c r="CM6" s="399"/>
      <c r="CN6" s="399"/>
      <c r="CO6" s="399">
        <v>-54.880540000000011</v>
      </c>
      <c r="CP6" s="399">
        <v>3.7850999999999981</v>
      </c>
      <c r="CQ6" s="399">
        <v>30</v>
      </c>
      <c r="CR6" s="399">
        <v>0.71412182317267536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-3.4533949121858072</v>
      </c>
      <c r="DA6" s="399">
        <v>0</v>
      </c>
      <c r="DB6" s="399">
        <v>0</v>
      </c>
      <c r="DC6" s="399">
        <v>3.7841177223471902</v>
      </c>
      <c r="DD6" s="399">
        <v>0</v>
      </c>
      <c r="DE6" s="399">
        <v>0</v>
      </c>
      <c r="DF6" s="399">
        <v>0</v>
      </c>
      <c r="DG6" s="399">
        <v>0.45033086363793728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-6.6931850626648859E-2</v>
      </c>
      <c r="DQ6" s="399">
        <v>0</v>
      </c>
      <c r="DR6" s="399">
        <v>0</v>
      </c>
      <c r="DS6" s="399"/>
      <c r="DT6" s="399"/>
      <c r="DU6" s="399"/>
      <c r="DV6" s="399">
        <v>84.922097866908814</v>
      </c>
      <c r="DW6" s="399">
        <v>0</v>
      </c>
      <c r="DX6" s="399">
        <v>0</v>
      </c>
      <c r="DY6" s="399">
        <v>-54.880540000000011</v>
      </c>
      <c r="DZ6" s="399">
        <v>3.7850999999999857</v>
      </c>
      <c r="EA6" s="399">
        <v>0</v>
      </c>
      <c r="EB6" s="399">
        <v>0</v>
      </c>
      <c r="EC6" s="399">
        <v>-51.808125493940892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227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1823</v>
      </c>
      <c r="E7" s="399" t="s">
        <v>889</v>
      </c>
      <c r="F7" s="399" t="s">
        <v>2333</v>
      </c>
      <c r="G7" s="399" t="s">
        <v>1239</v>
      </c>
      <c r="H7" s="399" t="s">
        <v>1239</v>
      </c>
      <c r="I7" s="399" t="s">
        <v>1239</v>
      </c>
      <c r="J7" s="399" t="s">
        <v>2329</v>
      </c>
      <c r="K7" s="789">
        <v>44440</v>
      </c>
      <c r="L7" s="399">
        <v>0</v>
      </c>
      <c r="M7" s="399">
        <v>0</v>
      </c>
      <c r="N7" s="399">
        <v>0.03</v>
      </c>
      <c r="O7" s="399">
        <v>0.03</v>
      </c>
      <c r="P7" s="399">
        <v>0.03</v>
      </c>
      <c r="Q7" s="399">
        <v>0.03</v>
      </c>
      <c r="R7" s="399"/>
      <c r="S7" s="399">
        <v>355.1</v>
      </c>
      <c r="T7" s="399">
        <v>205.96</v>
      </c>
      <c r="U7" s="399"/>
      <c r="V7" s="399">
        <v>16.831800000000001</v>
      </c>
      <c r="W7" s="399">
        <v>16.831800000000001</v>
      </c>
      <c r="X7" s="399">
        <v>12.336600000000001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2.4318682731855747</v>
      </c>
      <c r="AE7" s="399">
        <v>7.4711523050066404</v>
      </c>
      <c r="AF7" s="399">
        <v>6.0280736000027098</v>
      </c>
      <c r="AG7" s="399">
        <v>0.15085053015964708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3.2458594821635399E-2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0.71737397976038997</v>
      </c>
      <c r="BH7" s="399">
        <v>0</v>
      </c>
      <c r="BI7" s="399">
        <v>0.12</v>
      </c>
      <c r="BJ7" s="399">
        <v>0.6</v>
      </c>
      <c r="BK7" s="399">
        <v>8.41</v>
      </c>
      <c r="BL7" s="399">
        <v>1</v>
      </c>
      <c r="BM7" s="399"/>
      <c r="BN7" s="399"/>
      <c r="BO7" s="399"/>
      <c r="BP7" s="399"/>
      <c r="BQ7" s="399"/>
      <c r="BR7" s="399"/>
      <c r="BS7" s="399"/>
      <c r="BT7" s="399"/>
      <c r="BU7" s="399"/>
      <c r="BV7" s="399">
        <v>6.7454475797631002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12.336600000000001</v>
      </c>
      <c r="CJ7" s="399">
        <v>-4.5252000000000017</v>
      </c>
      <c r="CK7" s="399"/>
      <c r="CL7" s="399"/>
      <c r="CM7" s="399"/>
      <c r="CN7" s="399"/>
      <c r="CO7" s="399">
        <v>-4.8282000000000007</v>
      </c>
      <c r="CP7" s="399">
        <v>0.3329999999999998</v>
      </c>
      <c r="CQ7" s="399">
        <v>30</v>
      </c>
      <c r="CR7" s="399">
        <v>6.2825966848034653E-2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-0.30381773420989466</v>
      </c>
      <c r="DA7" s="399">
        <v>0</v>
      </c>
      <c r="DB7" s="399">
        <v>0</v>
      </c>
      <c r="DC7" s="399">
        <v>0.33291358261118997</v>
      </c>
      <c r="DD7" s="399">
        <v>0</v>
      </c>
      <c r="DE7" s="399">
        <v>0</v>
      </c>
      <c r="DF7" s="399">
        <v>0</v>
      </c>
      <c r="DG7" s="399">
        <v>3.9618551053191009E-2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-5.888432606450042E-3</v>
      </c>
      <c r="DQ7" s="399">
        <v>0</v>
      </c>
      <c r="DR7" s="399">
        <v>0</v>
      </c>
      <c r="DS7" s="399"/>
      <c r="DT7" s="399"/>
      <c r="DU7" s="399"/>
      <c r="DV7" s="399">
        <v>7.4711523050066404</v>
      </c>
      <c r="DW7" s="399">
        <v>0</v>
      </c>
      <c r="DX7" s="399">
        <v>0</v>
      </c>
      <c r="DY7" s="399">
        <v>-4.8282000000000007</v>
      </c>
      <c r="DZ7" s="399">
        <v>0.33300000000000018</v>
      </c>
      <c r="EA7" s="399">
        <v>0</v>
      </c>
      <c r="EB7" s="399">
        <v>0</v>
      </c>
      <c r="EC7" s="399">
        <v>-4.5578996035725128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227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1826</v>
      </c>
      <c r="E8" s="399" t="s">
        <v>890</v>
      </c>
      <c r="F8" s="399" t="s">
        <v>1239</v>
      </c>
      <c r="G8" s="399" t="s">
        <v>1239</v>
      </c>
      <c r="H8" s="399" t="s">
        <v>1239</v>
      </c>
      <c r="I8" s="399" t="s">
        <v>1239</v>
      </c>
      <c r="J8" s="399" t="s">
        <v>2329</v>
      </c>
      <c r="K8" s="789">
        <v>44440</v>
      </c>
      <c r="L8" s="399">
        <v>0</v>
      </c>
      <c r="M8" s="399">
        <v>0</v>
      </c>
      <c r="N8" s="399">
        <v>74.63</v>
      </c>
      <c r="O8" s="399">
        <v>74.63</v>
      </c>
      <c r="P8" s="399">
        <v>74.63</v>
      </c>
      <c r="Q8" s="399">
        <v>74.63</v>
      </c>
      <c r="R8" s="399"/>
      <c r="S8" s="399">
        <v>425.49</v>
      </c>
      <c r="T8" s="399">
        <v>205.96</v>
      </c>
      <c r="U8" s="399"/>
      <c r="V8" s="399">
        <v>47125.113499999999</v>
      </c>
      <c r="W8" s="399">
        <v>47125.113499999999</v>
      </c>
      <c r="X8" s="399">
        <v>35268.645399999994</v>
      </c>
      <c r="Y8" s="399">
        <v>0</v>
      </c>
      <c r="Z8" s="399">
        <v>4550.4973625424491</v>
      </c>
      <c r="AA8" s="399">
        <v>0</v>
      </c>
      <c r="AB8" s="399">
        <v>0</v>
      </c>
      <c r="AC8" s="399">
        <v>0</v>
      </c>
      <c r="AD8" s="399">
        <v>6049.6776409279819</v>
      </c>
      <c r="AE8" s="399">
        <v>18585.736550754853</v>
      </c>
      <c r="AF8" s="399">
        <v>14995.837758940073</v>
      </c>
      <c r="AG8" s="399">
        <v>375.26583552714874</v>
      </c>
      <c r="AH8" s="399">
        <v>0</v>
      </c>
      <c r="AI8" s="399">
        <v>0</v>
      </c>
      <c r="AJ8" s="399">
        <v>0</v>
      </c>
      <c r="AK8" s="399">
        <v>0</v>
      </c>
      <c r="AL8" s="399">
        <v>703.25123534247598</v>
      </c>
      <c r="AM8" s="399"/>
      <c r="AN8" s="399">
        <v>80.746164384621665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1784.5873369839301</v>
      </c>
      <c r="BH8" s="399">
        <v>0</v>
      </c>
      <c r="BI8" s="399">
        <v>259.41000000000003</v>
      </c>
      <c r="BJ8" s="399">
        <v>1195.25</v>
      </c>
      <c r="BK8" s="399">
        <v>15507.37</v>
      </c>
      <c r="BL8" s="399">
        <v>41</v>
      </c>
      <c r="BM8" s="399"/>
      <c r="BN8" s="399"/>
      <c r="BO8" s="399"/>
      <c r="BP8" s="399"/>
      <c r="BQ8" s="399"/>
      <c r="BR8" s="399"/>
      <c r="BS8" s="399"/>
      <c r="BT8" s="399"/>
      <c r="BU8" s="399"/>
      <c r="BV8" s="399">
        <v>16780.425095924002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35268.645399999994</v>
      </c>
      <c r="CJ8" s="399">
        <v>-11856.498100000004</v>
      </c>
      <c r="CK8" s="399"/>
      <c r="CL8" s="399"/>
      <c r="CM8" s="399"/>
      <c r="CN8" s="399"/>
      <c r="CO8" s="399">
        <v>-12684.861099999998</v>
      </c>
      <c r="CP8" s="399">
        <v>828.39299999999957</v>
      </c>
      <c r="CQ8" s="399">
        <v>30</v>
      </c>
      <c r="CR8" s="399">
        <v>-518.54685799035724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-755.79725013614825</v>
      </c>
      <c r="DA8" s="399">
        <v>0</v>
      </c>
      <c r="DB8" s="399">
        <v>0</v>
      </c>
      <c r="DC8" s="399">
        <v>828.17802234243572</v>
      </c>
      <c r="DD8" s="399">
        <v>0</v>
      </c>
      <c r="DE8" s="399">
        <v>0</v>
      </c>
      <c r="DF8" s="399">
        <v>0</v>
      </c>
      <c r="DG8" s="399">
        <v>98.55774883665481</v>
      </c>
      <c r="DH8" s="399">
        <v>0</v>
      </c>
      <c r="DI8" s="399">
        <v>-596.31994274535782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-78.516978773961227</v>
      </c>
      <c r="DP8" s="399">
        <v>-14.648457513978897</v>
      </c>
      <c r="DQ8" s="399">
        <v>0</v>
      </c>
      <c r="DR8" s="399">
        <v>0</v>
      </c>
      <c r="DS8" s="399"/>
      <c r="DT8" s="399"/>
      <c r="DU8" s="399"/>
      <c r="DV8" s="399">
        <v>18585.736550754853</v>
      </c>
      <c r="DW8" s="399">
        <v>0</v>
      </c>
      <c r="DX8" s="399">
        <v>0</v>
      </c>
      <c r="DY8" s="399">
        <v>-12684.861100000002</v>
      </c>
      <c r="DZ8" s="399">
        <v>828.39300000000003</v>
      </c>
      <c r="EA8" s="399">
        <v>0</v>
      </c>
      <c r="EB8" s="399">
        <v>0</v>
      </c>
      <c r="EC8" s="399">
        <v>-11338.534913820555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227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2334</v>
      </c>
      <c r="D9" s="399" t="s">
        <v>533</v>
      </c>
      <c r="E9" s="399" t="s">
        <v>890</v>
      </c>
      <c r="F9" s="399" t="s">
        <v>1239</v>
      </c>
      <c r="G9" s="399" t="s">
        <v>1239</v>
      </c>
      <c r="H9" s="399" t="s">
        <v>1239</v>
      </c>
      <c r="I9" s="399" t="s">
        <v>893</v>
      </c>
      <c r="J9" s="399" t="s">
        <v>2329</v>
      </c>
      <c r="K9" s="789">
        <v>44440</v>
      </c>
      <c r="L9" s="399">
        <v>0</v>
      </c>
      <c r="M9" s="399">
        <v>0</v>
      </c>
      <c r="N9" s="399">
        <v>15.45</v>
      </c>
      <c r="O9" s="399">
        <v>15.45</v>
      </c>
      <c r="P9" s="399">
        <v>15.45</v>
      </c>
      <c r="Q9" s="399">
        <v>15.45</v>
      </c>
      <c r="R9" s="399"/>
      <c r="S9" s="399">
        <v>2109.83</v>
      </c>
      <c r="T9" s="399">
        <v>205.96</v>
      </c>
      <c r="U9" s="399"/>
      <c r="V9" s="399">
        <v>35778.955499999996</v>
      </c>
      <c r="W9" s="399">
        <v>35778.955499999996</v>
      </c>
      <c r="X9" s="399">
        <v>21113.351999999999</v>
      </c>
      <c r="Y9" s="399">
        <v>0</v>
      </c>
      <c r="Z9" s="399">
        <v>819.58341549798104</v>
      </c>
      <c r="AA9" s="399">
        <v>0</v>
      </c>
      <c r="AB9" s="399">
        <v>0</v>
      </c>
      <c r="AC9" s="399">
        <v>0</v>
      </c>
      <c r="AD9" s="399">
        <v>9244.9100313115378</v>
      </c>
      <c r="AE9" s="399">
        <v>22234.556862097605</v>
      </c>
      <c r="AF9" s="399">
        <v>3104.4579040013955</v>
      </c>
      <c r="AG9" s="399">
        <v>77.688023032218254</v>
      </c>
      <c r="AH9" s="399">
        <v>0</v>
      </c>
      <c r="AI9" s="399">
        <v>0</v>
      </c>
      <c r="AJ9" s="399">
        <v>0</v>
      </c>
      <c r="AK9" s="399">
        <v>0</v>
      </c>
      <c r="AL9" s="399">
        <v>145.58798855743339</v>
      </c>
      <c r="AM9" s="399"/>
      <c r="AN9" s="399">
        <v>9.5399528881014533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142.64255521887782</v>
      </c>
      <c r="BH9" s="399">
        <v>0</v>
      </c>
      <c r="BI9" s="399">
        <v>0</v>
      </c>
      <c r="BJ9" s="399">
        <v>0</v>
      </c>
      <c r="BK9" s="399">
        <v>0</v>
      </c>
      <c r="BL9" s="399">
        <v>0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3247.1004592202735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21113.351999999999</v>
      </c>
      <c r="CJ9" s="399">
        <v>-14665.633499999996</v>
      </c>
      <c r="CK9" s="399"/>
      <c r="CL9" s="399"/>
      <c r="CM9" s="399"/>
      <c r="CN9" s="399"/>
      <c r="CO9" s="399">
        <v>-14837.098499999998</v>
      </c>
      <c r="CP9" s="399">
        <v>171.49499999999989</v>
      </c>
      <c r="CQ9" s="399">
        <v>30</v>
      </c>
      <c r="CR9" s="399">
        <v>-1101.0428881801927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-1154.9834543497318</v>
      </c>
      <c r="DA9" s="399">
        <v>0</v>
      </c>
      <c r="DB9" s="399">
        <v>0</v>
      </c>
      <c r="DC9" s="399">
        <v>171.45049504476265</v>
      </c>
      <c r="DD9" s="399">
        <v>0</v>
      </c>
      <c r="DE9" s="399">
        <v>0</v>
      </c>
      <c r="DF9" s="399">
        <v>0</v>
      </c>
      <c r="DG9" s="399">
        <v>7.8777478912519712</v>
      </c>
      <c r="DH9" s="399">
        <v>0</v>
      </c>
      <c r="DI9" s="399">
        <v>-107.40231154243202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-16.254687418701621</v>
      </c>
      <c r="DP9" s="399">
        <v>-1.7306778053389449</v>
      </c>
      <c r="DQ9" s="399">
        <v>0</v>
      </c>
      <c r="DR9" s="399">
        <v>0</v>
      </c>
      <c r="DS9" s="399"/>
      <c r="DT9" s="399"/>
      <c r="DU9" s="399"/>
      <c r="DV9" s="399">
        <v>22234.556862097605</v>
      </c>
      <c r="DW9" s="399">
        <v>0</v>
      </c>
      <c r="DX9" s="399">
        <v>0</v>
      </c>
      <c r="DY9" s="399">
        <v>-14837.0985</v>
      </c>
      <c r="DZ9" s="399">
        <v>171.49499999999989</v>
      </c>
      <c r="EA9" s="399">
        <v>0</v>
      </c>
      <c r="EB9" s="399">
        <v>0</v>
      </c>
      <c r="EC9" s="399">
        <v>-13564.557884792701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227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2334</v>
      </c>
      <c r="D10" s="399" t="s">
        <v>533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2326</v>
      </c>
      <c r="J10" s="399" t="s">
        <v>2329</v>
      </c>
      <c r="K10" s="789">
        <v>44440</v>
      </c>
      <c r="L10" s="399">
        <v>0</v>
      </c>
      <c r="M10" s="399">
        <v>0</v>
      </c>
      <c r="N10" s="399">
        <v>404.03399999999999</v>
      </c>
      <c r="O10" s="399">
        <v>404.03399999999999</v>
      </c>
      <c r="P10" s="399">
        <v>404.03399999999999</v>
      </c>
      <c r="Q10" s="399">
        <v>404.03399999999999</v>
      </c>
      <c r="R10" s="399"/>
      <c r="S10" s="399">
        <v>72.319999999999993</v>
      </c>
      <c r="T10" s="399">
        <v>205.96</v>
      </c>
      <c r="U10" s="399"/>
      <c r="V10" s="399">
        <v>112434.58152000001</v>
      </c>
      <c r="W10" s="399">
        <v>112434.58152000001</v>
      </c>
      <c r="X10" s="399">
        <v>113844.66017999999</v>
      </c>
      <c r="Y10" s="399">
        <v>0</v>
      </c>
      <c r="Z10" s="399">
        <v>21432.981598531474</v>
      </c>
      <c r="AA10" s="399">
        <v>0</v>
      </c>
      <c r="AB10" s="399">
        <v>0</v>
      </c>
      <c r="AC10" s="399">
        <v>0</v>
      </c>
      <c r="AD10" s="399">
        <v>0</v>
      </c>
      <c r="AE10" s="399">
        <v>0</v>
      </c>
      <c r="AF10" s="399">
        <v>81184.889630116493</v>
      </c>
      <c r="AG10" s="399">
        <v>2031.624770084095</v>
      </c>
      <c r="AH10" s="399">
        <v>0</v>
      </c>
      <c r="AI10" s="399">
        <v>0</v>
      </c>
      <c r="AJ10" s="399">
        <v>0</v>
      </c>
      <c r="AK10" s="399">
        <v>0</v>
      </c>
      <c r="AL10" s="399">
        <v>3807.2813830947598</v>
      </c>
      <c r="AM10" s="399"/>
      <c r="AN10" s="399">
        <v>249.4799563230539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3730.2551556831122</v>
      </c>
      <c r="BH10" s="399">
        <v>0</v>
      </c>
      <c r="BI10" s="399">
        <v>0</v>
      </c>
      <c r="BJ10" s="399">
        <v>0</v>
      </c>
      <c r="BK10" s="399">
        <v>0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84915.14478579961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113843.5331</v>
      </c>
      <c r="CJ10" s="399">
        <v>1408.9215800000093</v>
      </c>
      <c r="CK10" s="399"/>
      <c r="CL10" s="399"/>
      <c r="CM10" s="399"/>
      <c r="CN10" s="399"/>
      <c r="CO10" s="399">
        <v>-3074.6987399999998</v>
      </c>
      <c r="CP10" s="399">
        <v>4484.7773999999972</v>
      </c>
      <c r="CQ10" s="399">
        <v>30</v>
      </c>
      <c r="CR10" s="399">
        <v>1410.6034117634117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0</v>
      </c>
      <c r="DA10" s="399">
        <v>0</v>
      </c>
      <c r="DB10" s="399">
        <v>0</v>
      </c>
      <c r="DC10" s="399">
        <v>4483.6135478909855</v>
      </c>
      <c r="DD10" s="399">
        <v>0</v>
      </c>
      <c r="DE10" s="399">
        <v>0</v>
      </c>
      <c r="DF10" s="399">
        <v>0</v>
      </c>
      <c r="DG10" s="399">
        <v>206.01152048505446</v>
      </c>
      <c r="DH10" s="399">
        <v>0</v>
      </c>
      <c r="DI10" s="399">
        <v>-2808.6851483323589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-425.07743537395982</v>
      </c>
      <c r="DP10" s="399">
        <v>-45.259072906298712</v>
      </c>
      <c r="DQ10" s="399">
        <v>0</v>
      </c>
      <c r="DR10" s="399">
        <v>0</v>
      </c>
      <c r="DS10" s="399"/>
      <c r="DT10" s="399"/>
      <c r="DU10" s="399"/>
      <c r="DV10" s="399">
        <v>0</v>
      </c>
      <c r="DW10" s="399">
        <v>0</v>
      </c>
      <c r="DX10" s="399">
        <v>0</v>
      </c>
      <c r="DY10" s="399">
        <v>-3074.6987399999998</v>
      </c>
      <c r="DZ10" s="399">
        <v>4484.7773999999918</v>
      </c>
      <c r="EA10" s="399">
        <v>0</v>
      </c>
      <c r="EB10" s="399">
        <v>0</v>
      </c>
      <c r="EC10" s="399">
        <v>0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227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2334</v>
      </c>
      <c r="D11" s="399" t="s">
        <v>533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2329</v>
      </c>
      <c r="K11" s="789">
        <v>44440</v>
      </c>
      <c r="L11" s="399">
        <v>2275</v>
      </c>
      <c r="M11" s="399">
        <v>2275</v>
      </c>
      <c r="N11" s="399">
        <v>0</v>
      </c>
      <c r="O11" s="399">
        <v>0</v>
      </c>
      <c r="P11" s="399">
        <v>0</v>
      </c>
      <c r="Q11" s="399">
        <v>0</v>
      </c>
      <c r="R11" s="399">
        <v>26.79</v>
      </c>
      <c r="S11" s="399"/>
      <c r="T11" s="399"/>
      <c r="U11" s="399">
        <v>60947.25</v>
      </c>
      <c r="V11" s="399"/>
      <c r="W11" s="399">
        <v>60947.25</v>
      </c>
      <c r="X11" s="399">
        <v>34875.75</v>
      </c>
      <c r="Y11" s="399">
        <v>0</v>
      </c>
      <c r="Z11" s="399">
        <v>0</v>
      </c>
      <c r="AA11" s="399">
        <v>0</v>
      </c>
      <c r="AB11" s="399">
        <v>0</v>
      </c>
      <c r="AC11" s="399">
        <v>0</v>
      </c>
      <c r="AD11" s="399">
        <v>22915.126396958251</v>
      </c>
      <c r="AE11" s="399">
        <v>38039.906031191385</v>
      </c>
      <c r="AF11" s="399"/>
      <c r="AG11" s="399"/>
      <c r="AH11" s="399"/>
      <c r="AI11" s="399">
        <v>0</v>
      </c>
      <c r="AJ11" s="399">
        <v>0</v>
      </c>
      <c r="AK11" s="399">
        <v>0</v>
      </c>
      <c r="AL11" s="399">
        <v>0</v>
      </c>
      <c r="AM11" s="399"/>
      <c r="AN11" s="399">
        <v>0</v>
      </c>
      <c r="AO11" s="399">
        <v>0</v>
      </c>
      <c r="AP11" s="399">
        <v>0</v>
      </c>
      <c r="AQ11" s="399">
        <v>0</v>
      </c>
      <c r="AR11" s="399">
        <v>0</v>
      </c>
      <c r="AS11" s="399"/>
      <c r="AT11" s="399"/>
      <c r="AU11" s="399">
        <v>0</v>
      </c>
      <c r="AV11" s="399">
        <v>0</v>
      </c>
      <c r="AW11" s="399">
        <v>0</v>
      </c>
      <c r="AX11" s="399"/>
      <c r="AY11" s="399"/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/>
      <c r="BG11" s="399">
        <v>0</v>
      </c>
      <c r="BH11" s="399">
        <v>0</v>
      </c>
      <c r="BI11" s="399">
        <v>1035.3</v>
      </c>
      <c r="BJ11" s="399">
        <v>4757.09</v>
      </c>
      <c r="BK11" s="399">
        <v>78781.600000000006</v>
      </c>
      <c r="BL11" s="399">
        <v>12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0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34875.75</v>
      </c>
      <c r="CJ11" s="399">
        <v>-26071.530000000006</v>
      </c>
      <c r="CK11" s="399"/>
      <c r="CL11" s="399"/>
      <c r="CM11" s="399"/>
      <c r="CN11" s="399"/>
      <c r="CO11" s="399">
        <v>-26071.499999999996</v>
      </c>
      <c r="CP11" s="399">
        <v>0</v>
      </c>
      <c r="CQ11" s="399">
        <v>30</v>
      </c>
      <c r="CR11" s="399">
        <v>-2862.8284919140024</v>
      </c>
      <c r="CS11" s="399">
        <v>0</v>
      </c>
      <c r="CT11" s="399">
        <v>0</v>
      </c>
      <c r="CU11" s="399">
        <v>0</v>
      </c>
      <c r="CV11" s="399">
        <v>0</v>
      </c>
      <c r="CW11" s="399"/>
      <c r="CX11" s="399"/>
      <c r="CY11" s="399"/>
      <c r="CZ11" s="399">
        <v>-2862.8284919140024</v>
      </c>
      <c r="DA11" s="399">
        <v>0</v>
      </c>
      <c r="DB11" s="399">
        <v>0</v>
      </c>
      <c r="DC11" s="399"/>
      <c r="DD11" s="399"/>
      <c r="DE11" s="399">
        <v>0</v>
      </c>
      <c r="DF11" s="399">
        <v>0</v>
      </c>
      <c r="DG11" s="399">
        <v>0</v>
      </c>
      <c r="DH11" s="399">
        <v>0</v>
      </c>
      <c r="DI11" s="399">
        <v>0</v>
      </c>
      <c r="DJ11" s="399"/>
      <c r="DK11" s="399">
        <v>0</v>
      </c>
      <c r="DL11" s="399">
        <v>0</v>
      </c>
      <c r="DM11" s="399"/>
      <c r="DN11" s="399">
        <v>0</v>
      </c>
      <c r="DO11" s="399">
        <v>0</v>
      </c>
      <c r="DP11" s="399">
        <v>0</v>
      </c>
      <c r="DQ11" s="399">
        <v>0</v>
      </c>
      <c r="DR11" s="399">
        <v>0</v>
      </c>
      <c r="DS11" s="399"/>
      <c r="DT11" s="399"/>
      <c r="DU11" s="399">
        <v>38039.906031191385</v>
      </c>
      <c r="DV11" s="399"/>
      <c r="DW11" s="399">
        <v>0</v>
      </c>
      <c r="DX11" s="399">
        <v>0</v>
      </c>
      <c r="DY11" s="399">
        <v>-26071.5</v>
      </c>
      <c r="DZ11" s="399"/>
      <c r="EA11" s="399">
        <v>0</v>
      </c>
      <c r="EB11" s="399"/>
      <c r="EC11" s="399">
        <v>-23206.871649948102</v>
      </c>
      <c r="ED11" s="399"/>
      <c r="EE11" s="399">
        <v>0</v>
      </c>
      <c r="EF11" s="399">
        <v>0</v>
      </c>
      <c r="EG11" s="399"/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/>
      <c r="EN11" s="399"/>
      <c r="EO11" s="399">
        <v>0</v>
      </c>
      <c r="EP11" s="399">
        <v>0</v>
      </c>
      <c r="EQ11" s="399"/>
      <c r="ER11" s="399">
        <v>0</v>
      </c>
      <c r="ES11" s="399"/>
      <c r="ET11" s="399">
        <v>0</v>
      </c>
      <c r="EU11" s="399"/>
      <c r="EV11" s="399">
        <v>227</v>
      </c>
      <c r="EW11" s="399"/>
      <c r="EX11" s="399"/>
      <c r="EY11" s="399"/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2328</v>
      </c>
      <c r="D12" s="399" t="s">
        <v>1826</v>
      </c>
      <c r="E12" s="399" t="s">
        <v>918</v>
      </c>
      <c r="F12" s="399" t="s">
        <v>1239</v>
      </c>
      <c r="G12" s="399" t="s">
        <v>1239</v>
      </c>
      <c r="H12" s="399" t="s">
        <v>1239</v>
      </c>
      <c r="I12" s="399" t="s">
        <v>1239</v>
      </c>
      <c r="J12" s="399" t="s">
        <v>2329</v>
      </c>
      <c r="K12" s="789">
        <v>44440</v>
      </c>
      <c r="L12" s="399">
        <v>0</v>
      </c>
      <c r="M12" s="399">
        <v>0</v>
      </c>
      <c r="N12" s="399">
        <v>13.794</v>
      </c>
      <c r="O12" s="399">
        <v>13.794</v>
      </c>
      <c r="P12" s="399">
        <v>13.794</v>
      </c>
      <c r="Q12" s="399">
        <v>13.794</v>
      </c>
      <c r="R12" s="399"/>
      <c r="S12" s="399">
        <v>425.49</v>
      </c>
      <c r="T12" s="399">
        <v>205.96</v>
      </c>
      <c r="U12" s="399"/>
      <c r="V12" s="399">
        <v>8710.2213000000011</v>
      </c>
      <c r="W12" s="399">
        <v>8710.2213000000011</v>
      </c>
      <c r="X12" s="399">
        <v>6518.7685200000005</v>
      </c>
      <c r="Y12" s="399">
        <v>0</v>
      </c>
      <c r="Z12" s="399">
        <v>841.07678706834452</v>
      </c>
      <c r="AA12" s="399">
        <v>0</v>
      </c>
      <c r="AB12" s="399">
        <v>0</v>
      </c>
      <c r="AC12" s="399">
        <v>0</v>
      </c>
      <c r="AD12" s="399">
        <v>1118.1730320107274</v>
      </c>
      <c r="AE12" s="399">
        <v>3435.2358298420536</v>
      </c>
      <c r="AF12" s="399">
        <v>2771.708241281246</v>
      </c>
      <c r="AG12" s="399">
        <v>69.361073767405728</v>
      </c>
      <c r="AH12" s="399">
        <v>0</v>
      </c>
      <c r="AI12" s="399">
        <v>0</v>
      </c>
      <c r="AJ12" s="399">
        <v>0</v>
      </c>
      <c r="AK12" s="399">
        <v>0</v>
      </c>
      <c r="AL12" s="399">
        <v>129.98321774506383</v>
      </c>
      <c r="AM12" s="399"/>
      <c r="AN12" s="399">
        <v>14.924461898987959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329.84855589382732</v>
      </c>
      <c r="BH12" s="399">
        <v>0</v>
      </c>
      <c r="BI12" s="399">
        <v>53.85</v>
      </c>
      <c r="BJ12" s="399">
        <v>249.73</v>
      </c>
      <c r="BK12" s="399">
        <v>2859.61</v>
      </c>
      <c r="BL12" s="399">
        <v>53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3101.5567971750734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6516.8782000000001</v>
      </c>
      <c r="CJ12" s="399">
        <v>-2193.3731000000016</v>
      </c>
      <c r="CK12" s="399"/>
      <c r="CL12" s="399"/>
      <c r="CM12" s="399"/>
      <c r="CN12" s="399"/>
      <c r="CO12" s="399">
        <v>-2344.5661800000003</v>
      </c>
      <c r="CP12" s="399">
        <v>153.11339999999993</v>
      </c>
      <c r="CQ12" s="399">
        <v>30</v>
      </c>
      <c r="CR12" s="399">
        <v>-95.843968365522414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-139.69539418970965</v>
      </c>
      <c r="DA12" s="399">
        <v>0</v>
      </c>
      <c r="DB12" s="399">
        <v>0</v>
      </c>
      <c r="DC12" s="399">
        <v>153.07366528462489</v>
      </c>
      <c r="DD12" s="399">
        <v>0</v>
      </c>
      <c r="DE12" s="399">
        <v>0</v>
      </c>
      <c r="DF12" s="399">
        <v>0</v>
      </c>
      <c r="DG12" s="399">
        <v>18.216609774257222</v>
      </c>
      <c r="DH12" s="399">
        <v>0</v>
      </c>
      <c r="DI12" s="399">
        <v>-110.21891049483406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-14.51243742741552</v>
      </c>
      <c r="DP12" s="399">
        <v>-2.7075013124457303</v>
      </c>
      <c r="DQ12" s="399">
        <v>0</v>
      </c>
      <c r="DR12" s="399">
        <v>0</v>
      </c>
      <c r="DS12" s="399"/>
      <c r="DT12" s="399"/>
      <c r="DU12" s="399"/>
      <c r="DV12" s="399">
        <v>3435.2358298420536</v>
      </c>
      <c r="DW12" s="399">
        <v>0</v>
      </c>
      <c r="DX12" s="399">
        <v>0</v>
      </c>
      <c r="DY12" s="399">
        <v>-2344.5661799999998</v>
      </c>
      <c r="DZ12" s="399">
        <v>153.11340000000018</v>
      </c>
      <c r="EA12" s="399">
        <v>0</v>
      </c>
      <c r="EB12" s="399">
        <v>0</v>
      </c>
      <c r="EC12" s="399">
        <v>-2095.7222377226417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227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2328</v>
      </c>
      <c r="D13" s="399" t="s">
        <v>2335</v>
      </c>
      <c r="E13" s="399" t="s">
        <v>894</v>
      </c>
      <c r="F13" s="399" t="s">
        <v>1239</v>
      </c>
      <c r="G13" s="399" t="s">
        <v>1239</v>
      </c>
      <c r="H13" s="399" t="s">
        <v>1239</v>
      </c>
      <c r="I13" s="399" t="s">
        <v>1239</v>
      </c>
      <c r="J13" s="399" t="s">
        <v>2329</v>
      </c>
      <c r="K13" s="789">
        <v>44440</v>
      </c>
      <c r="L13" s="399">
        <v>0</v>
      </c>
      <c r="M13" s="399">
        <v>0</v>
      </c>
      <c r="N13" s="399">
        <v>73.150000000000006</v>
      </c>
      <c r="O13" s="399">
        <v>73.150000000000006</v>
      </c>
      <c r="P13" s="399">
        <v>73.150000000000006</v>
      </c>
      <c r="Q13" s="399">
        <v>73.150000000000006</v>
      </c>
      <c r="R13" s="399"/>
      <c r="S13" s="399">
        <v>425.49</v>
      </c>
      <c r="T13" s="399">
        <v>205.96</v>
      </c>
      <c r="U13" s="399"/>
      <c r="V13" s="399">
        <v>46190.567500000005</v>
      </c>
      <c r="W13" s="399">
        <v>46190.567500000005</v>
      </c>
      <c r="X13" s="399">
        <v>34569.226999999999</v>
      </c>
      <c r="Y13" s="399">
        <v>0</v>
      </c>
      <c r="Z13" s="399">
        <v>4460.2556889987964</v>
      </c>
      <c r="AA13" s="399">
        <v>0</v>
      </c>
      <c r="AB13" s="399">
        <v>0</v>
      </c>
      <c r="AC13" s="399">
        <v>0</v>
      </c>
      <c r="AD13" s="399">
        <v>5929.7054727841605</v>
      </c>
      <c r="AE13" s="399">
        <v>18217.159703707861</v>
      </c>
      <c r="AF13" s="399">
        <v>14698.452794673276</v>
      </c>
      <c r="AG13" s="399">
        <v>367.82387603927288</v>
      </c>
      <c r="AH13" s="399">
        <v>0</v>
      </c>
      <c r="AI13" s="399">
        <v>0</v>
      </c>
      <c r="AJ13" s="399">
        <v>0</v>
      </c>
      <c r="AK13" s="399">
        <v>0</v>
      </c>
      <c r="AL13" s="399">
        <v>689.30494258745978</v>
      </c>
      <c r="AM13" s="399"/>
      <c r="AN13" s="399">
        <v>79.144873706754325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1749.1968873157512</v>
      </c>
      <c r="BH13" s="399">
        <v>0</v>
      </c>
      <c r="BI13" s="399">
        <v>146.13</v>
      </c>
      <c r="BJ13" s="399">
        <v>677.44</v>
      </c>
      <c r="BK13" s="399">
        <v>6153.19</v>
      </c>
      <c r="BL13" s="399">
        <v>249</v>
      </c>
      <c r="BM13" s="399"/>
      <c r="BN13" s="399"/>
      <c r="BO13" s="399"/>
      <c r="BP13" s="399"/>
      <c r="BQ13" s="399"/>
      <c r="BR13" s="399">
        <v>4149.068000000002</v>
      </c>
      <c r="BS13" s="399"/>
      <c r="BT13" s="399"/>
      <c r="BU13" s="399"/>
      <c r="BV13" s="399">
        <v>16447.649681989027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30420.159</v>
      </c>
      <c r="CJ13" s="399">
        <v>-10227.863000000005</v>
      </c>
      <c r="CK13" s="399"/>
      <c r="CL13" s="399"/>
      <c r="CM13" s="399"/>
      <c r="CN13" s="399"/>
      <c r="CO13" s="399">
        <v>-12433.3055</v>
      </c>
      <c r="CP13" s="399">
        <v>811.96499999999969</v>
      </c>
      <c r="CQ13" s="399">
        <v>30</v>
      </c>
      <c r="CR13" s="399">
        <v>-508.26346860504054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-740.80890858179373</v>
      </c>
      <c r="DA13" s="399">
        <v>0</v>
      </c>
      <c r="DB13" s="399">
        <v>0</v>
      </c>
      <c r="DC13" s="399">
        <v>811.75428560028377</v>
      </c>
      <c r="DD13" s="399">
        <v>0</v>
      </c>
      <c r="DE13" s="399">
        <v>0</v>
      </c>
      <c r="DF13" s="399">
        <v>0</v>
      </c>
      <c r="DG13" s="399">
        <v>96.603233651364008</v>
      </c>
      <c r="DH13" s="399">
        <v>0</v>
      </c>
      <c r="DI13" s="399">
        <v>-584.49422232108964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-76.95989544841575</v>
      </c>
      <c r="DP13" s="399">
        <v>-14.357961505394016</v>
      </c>
      <c r="DQ13" s="399">
        <v>0</v>
      </c>
      <c r="DR13" s="399">
        <v>0</v>
      </c>
      <c r="DS13" s="399"/>
      <c r="DT13" s="399"/>
      <c r="DU13" s="399"/>
      <c r="DV13" s="399">
        <v>18217.159703707861</v>
      </c>
      <c r="DW13" s="399">
        <v>0</v>
      </c>
      <c r="DX13" s="399">
        <v>0</v>
      </c>
      <c r="DY13" s="399">
        <v>-12433.305500000002</v>
      </c>
      <c r="DZ13" s="399">
        <v>811.96500000000015</v>
      </c>
      <c r="EA13" s="399">
        <v>0</v>
      </c>
      <c r="EB13" s="399">
        <v>0</v>
      </c>
      <c r="EC13" s="399">
        <v>-11113.678533377646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227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2328</v>
      </c>
      <c r="D14" s="399" t="s">
        <v>1826</v>
      </c>
      <c r="E14" s="399" t="s">
        <v>2336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2329</v>
      </c>
      <c r="K14" s="789">
        <v>44440</v>
      </c>
      <c r="L14" s="399">
        <v>0</v>
      </c>
      <c r="M14" s="399">
        <v>0</v>
      </c>
      <c r="N14" s="399">
        <v>3.6840000000000002</v>
      </c>
      <c r="O14" s="399">
        <v>3.6840000000000002</v>
      </c>
      <c r="P14" s="399">
        <v>3.6840000000000002</v>
      </c>
      <c r="Q14" s="399">
        <v>3.6840000000000002</v>
      </c>
      <c r="R14" s="399"/>
      <c r="S14" s="399">
        <v>425.49</v>
      </c>
      <c r="T14" s="399">
        <v>205.96</v>
      </c>
      <c r="U14" s="399"/>
      <c r="V14" s="399">
        <v>2326.2618000000002</v>
      </c>
      <c r="W14" s="399">
        <v>2326.2618000000002</v>
      </c>
      <c r="X14" s="399">
        <v>1740.9847199999999</v>
      </c>
      <c r="Y14" s="399">
        <v>0</v>
      </c>
      <c r="Z14" s="399">
        <v>224.62859819920118</v>
      </c>
      <c r="AA14" s="399">
        <v>0</v>
      </c>
      <c r="AB14" s="399">
        <v>0</v>
      </c>
      <c r="AC14" s="399">
        <v>0</v>
      </c>
      <c r="AD14" s="399">
        <v>298.63342394718865</v>
      </c>
      <c r="AE14" s="399">
        <v>917.45750305481545</v>
      </c>
      <c r="AF14" s="399">
        <v>740.24743808033281</v>
      </c>
      <c r="AG14" s="399">
        <v>18.524445103604663</v>
      </c>
      <c r="AH14" s="399">
        <v>0</v>
      </c>
      <c r="AI14" s="399">
        <v>0</v>
      </c>
      <c r="AJ14" s="399">
        <v>0</v>
      </c>
      <c r="AK14" s="399">
        <v>0</v>
      </c>
      <c r="AL14" s="399">
        <v>34.71496115505402</v>
      </c>
      <c r="AM14" s="399"/>
      <c r="AN14" s="399">
        <v>3.9859154440968276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88.093524714575892</v>
      </c>
      <c r="BH14" s="399">
        <v>0</v>
      </c>
      <c r="BI14" s="399">
        <v>20.2</v>
      </c>
      <c r="BJ14" s="399">
        <v>93.47</v>
      </c>
      <c r="BK14" s="399">
        <v>778.89</v>
      </c>
      <c r="BL14" s="399">
        <v>13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828.34096279490871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1739.0944</v>
      </c>
      <c r="CJ14" s="399">
        <v>-587.19740000000047</v>
      </c>
      <c r="CK14" s="399"/>
      <c r="CL14" s="399"/>
      <c r="CM14" s="399"/>
      <c r="CN14" s="399"/>
      <c r="CO14" s="399">
        <v>-626.16948000000002</v>
      </c>
      <c r="CP14" s="399">
        <v>40.892399999999981</v>
      </c>
      <c r="CQ14" s="399">
        <v>30</v>
      </c>
      <c r="CR14" s="399">
        <v>-25.59730168613828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-37.308817760975103</v>
      </c>
      <c r="DA14" s="399">
        <v>0</v>
      </c>
      <c r="DB14" s="399">
        <v>0</v>
      </c>
      <c r="DC14" s="399">
        <v>40.881787944654093</v>
      </c>
      <c r="DD14" s="399">
        <v>0</v>
      </c>
      <c r="DE14" s="399">
        <v>0</v>
      </c>
      <c r="DF14" s="399">
        <v>0</v>
      </c>
      <c r="DG14" s="399">
        <v>4.865158069331855</v>
      </c>
      <c r="DH14" s="399">
        <v>0</v>
      </c>
      <c r="DI14" s="399">
        <v>-29.436455434461976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-3.8758749806146717</v>
      </c>
      <c r="DP14" s="399">
        <v>-0.72309952407206524</v>
      </c>
      <c r="DQ14" s="399">
        <v>0</v>
      </c>
      <c r="DR14" s="399">
        <v>0</v>
      </c>
      <c r="DS14" s="399"/>
      <c r="DT14" s="399"/>
      <c r="DU14" s="399"/>
      <c r="DV14" s="399">
        <v>917.45750305481545</v>
      </c>
      <c r="DW14" s="399">
        <v>0</v>
      </c>
      <c r="DX14" s="399">
        <v>0</v>
      </c>
      <c r="DY14" s="399">
        <v>-626.16948000000014</v>
      </c>
      <c r="DZ14" s="399">
        <v>40.892399999999952</v>
      </c>
      <c r="EA14" s="399">
        <v>0</v>
      </c>
      <c r="EB14" s="399">
        <v>0</v>
      </c>
      <c r="EC14" s="399">
        <v>-559.71007131870454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227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2328</v>
      </c>
      <c r="D15" s="399" t="s">
        <v>2337</v>
      </c>
      <c r="E15" s="399" t="s">
        <v>2338</v>
      </c>
      <c r="F15" s="399" t="s">
        <v>2339</v>
      </c>
      <c r="G15" s="399" t="s">
        <v>1239</v>
      </c>
      <c r="H15" s="399" t="s">
        <v>1239</v>
      </c>
      <c r="I15" s="399" t="s">
        <v>1239</v>
      </c>
      <c r="J15" s="399" t="s">
        <v>2329</v>
      </c>
      <c r="K15" s="789">
        <v>44440</v>
      </c>
      <c r="L15" s="399">
        <v>0</v>
      </c>
      <c r="M15" s="399">
        <v>0</v>
      </c>
      <c r="N15" s="399">
        <v>20.411999999999999</v>
      </c>
      <c r="O15" s="399">
        <v>20.411999999999999</v>
      </c>
      <c r="P15" s="399">
        <v>20.411999999999999</v>
      </c>
      <c r="Q15" s="399">
        <v>20.411999999999999</v>
      </c>
      <c r="R15" s="399"/>
      <c r="S15" s="399">
        <v>234.02</v>
      </c>
      <c r="T15" s="399">
        <v>113.28</v>
      </c>
      <c r="U15" s="399"/>
      <c r="V15" s="399">
        <v>7089.0875999999998</v>
      </c>
      <c r="W15" s="399">
        <v>7089.0875999999998</v>
      </c>
      <c r="X15" s="399">
        <v>5305.2829199999996</v>
      </c>
      <c r="Y15" s="399">
        <v>0</v>
      </c>
      <c r="Z15" s="399">
        <v>684.53187311160423</v>
      </c>
      <c r="AA15" s="399">
        <v>0</v>
      </c>
      <c r="AB15" s="399">
        <v>0</v>
      </c>
      <c r="AC15" s="399">
        <v>0</v>
      </c>
      <c r="AD15" s="399">
        <v>910.05374519150632</v>
      </c>
      <c r="AE15" s="399">
        <v>2795.8546155795766</v>
      </c>
      <c r="AF15" s="399">
        <v>2255.825702593007</v>
      </c>
      <c r="AG15" s="399">
        <v>56.451285396343067</v>
      </c>
      <c r="AH15" s="399">
        <v>0</v>
      </c>
      <c r="AI15" s="399">
        <v>0</v>
      </c>
      <c r="AJ15" s="399">
        <v>0</v>
      </c>
      <c r="AK15" s="399">
        <v>0</v>
      </c>
      <c r="AL15" s="399">
        <v>105.79016908342275</v>
      </c>
      <c r="AM15" s="399"/>
      <c r="AN15" s="399">
        <v>12.146655354152418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268.45569070593416</v>
      </c>
      <c r="BH15" s="399">
        <v>0</v>
      </c>
      <c r="BI15" s="399">
        <v>84.34</v>
      </c>
      <c r="BJ15" s="399">
        <v>389.31</v>
      </c>
      <c r="BK15" s="399">
        <v>3244.27</v>
      </c>
      <c r="BL15" s="399">
        <v>2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2524.2813932989411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5304.7631000000001</v>
      </c>
      <c r="CJ15" s="399">
        <v>-1784.3545000000004</v>
      </c>
      <c r="CK15" s="399"/>
      <c r="CL15" s="399"/>
      <c r="CM15" s="399"/>
      <c r="CN15" s="399"/>
      <c r="CO15" s="399">
        <v>-1908.3178800000001</v>
      </c>
      <c r="CP15" s="399">
        <v>124.51319999999988</v>
      </c>
      <c r="CQ15" s="399">
        <v>30</v>
      </c>
      <c r="CR15" s="399">
        <v>-78.005067076419436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-113.69467249602735</v>
      </c>
      <c r="DA15" s="399">
        <v>0</v>
      </c>
      <c r="DB15" s="399">
        <v>0</v>
      </c>
      <c r="DC15" s="399">
        <v>124.58292088477674</v>
      </c>
      <c r="DD15" s="399">
        <v>0</v>
      </c>
      <c r="DE15" s="399">
        <v>0</v>
      </c>
      <c r="DF15" s="399">
        <v>0</v>
      </c>
      <c r="DG15" s="399">
        <v>14.826054175124455</v>
      </c>
      <c r="DH15" s="399">
        <v>0</v>
      </c>
      <c r="DI15" s="399">
        <v>-89.704481699383109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-11.811318690925361</v>
      </c>
      <c r="DP15" s="399">
        <v>-2.2035692499857458</v>
      </c>
      <c r="DQ15" s="399">
        <v>0</v>
      </c>
      <c r="DR15" s="399">
        <v>0</v>
      </c>
      <c r="DS15" s="399"/>
      <c r="DT15" s="399"/>
      <c r="DU15" s="399"/>
      <c r="DV15" s="399">
        <v>2795.8546155795766</v>
      </c>
      <c r="DW15" s="399">
        <v>0</v>
      </c>
      <c r="DX15" s="399">
        <v>0</v>
      </c>
      <c r="DY15" s="399">
        <v>-1908.3178800000001</v>
      </c>
      <c r="DZ15" s="399">
        <v>124.51319999999987</v>
      </c>
      <c r="EA15" s="399">
        <v>0</v>
      </c>
      <c r="EB15" s="399">
        <v>0</v>
      </c>
      <c r="EC15" s="399">
        <v>-1705.6571896488967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227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2328</v>
      </c>
      <c r="D16" s="399" t="s">
        <v>2335</v>
      </c>
      <c r="E16" s="399" t="s">
        <v>894</v>
      </c>
      <c r="F16" s="399" t="s">
        <v>2342</v>
      </c>
      <c r="G16" s="399" t="s">
        <v>2340</v>
      </c>
      <c r="H16" s="399" t="s">
        <v>1239</v>
      </c>
      <c r="I16" s="399" t="s">
        <v>1239</v>
      </c>
      <c r="J16" s="399" t="s">
        <v>2329</v>
      </c>
      <c r="K16" s="789">
        <v>44440</v>
      </c>
      <c r="L16" s="399">
        <v>0</v>
      </c>
      <c r="M16" s="399">
        <v>0</v>
      </c>
      <c r="N16" s="399">
        <v>0</v>
      </c>
      <c r="O16" s="399">
        <v>0</v>
      </c>
      <c r="P16" s="399">
        <v>0</v>
      </c>
      <c r="Q16" s="399">
        <v>0</v>
      </c>
      <c r="R16" s="399"/>
      <c r="S16" s="399"/>
      <c r="T16" s="399"/>
      <c r="U16" s="399"/>
      <c r="V16" s="399"/>
      <c r="W16" s="399"/>
      <c r="X16" s="399"/>
      <c r="Y16" s="399"/>
      <c r="Z16" s="399"/>
      <c r="AA16" s="399">
        <v>0</v>
      </c>
      <c r="AB16" s="399"/>
      <c r="AC16" s="399"/>
      <c r="AD16" s="399"/>
      <c r="AE16" s="399"/>
      <c r="AF16" s="399"/>
      <c r="AG16" s="399"/>
      <c r="AH16" s="399"/>
      <c r="AI16" s="399"/>
      <c r="AJ16" s="399"/>
      <c r="AK16" s="399"/>
      <c r="AL16" s="399"/>
      <c r="AM16" s="399"/>
      <c r="AN16" s="399"/>
      <c r="AO16" s="399"/>
      <c r="AP16" s="399"/>
      <c r="AQ16" s="399"/>
      <c r="AR16" s="399"/>
      <c r="AS16" s="399"/>
      <c r="AT16" s="399"/>
      <c r="AU16" s="399"/>
      <c r="AV16" s="399"/>
      <c r="AW16" s="399"/>
      <c r="AX16" s="399"/>
      <c r="AY16" s="399"/>
      <c r="AZ16" s="399">
        <v>0</v>
      </c>
      <c r="BA16" s="399"/>
      <c r="BB16" s="399"/>
      <c r="BC16" s="399"/>
      <c r="BD16" s="399"/>
      <c r="BE16" s="399"/>
      <c r="BF16" s="399"/>
      <c r="BG16" s="399"/>
      <c r="BH16" s="399"/>
      <c r="BI16" s="399">
        <v>1</v>
      </c>
      <c r="BJ16" s="399">
        <v>4.63</v>
      </c>
      <c r="BK16" s="399">
        <v>46.33</v>
      </c>
      <c r="BL16" s="399">
        <v>1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/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/>
      <c r="CJ16" s="399">
        <v>-0.03</v>
      </c>
      <c r="CK16" s="399"/>
      <c r="CL16" s="399"/>
      <c r="CM16" s="399"/>
      <c r="CN16" s="399"/>
      <c r="CO16" s="399">
        <v>0</v>
      </c>
      <c r="CP16" s="399">
        <v>0</v>
      </c>
      <c r="CQ16" s="399">
        <v>30</v>
      </c>
      <c r="CR16" s="399"/>
      <c r="CS16" s="399"/>
      <c r="CT16" s="399"/>
      <c r="CU16" s="399"/>
      <c r="CV16" s="399"/>
      <c r="CW16" s="399"/>
      <c r="CX16" s="399"/>
      <c r="CY16" s="399"/>
      <c r="CZ16" s="399"/>
      <c r="DA16" s="399"/>
      <c r="DB16" s="399"/>
      <c r="DC16" s="399"/>
      <c r="DD16" s="399"/>
      <c r="DE16" s="399"/>
      <c r="DF16" s="399"/>
      <c r="DG16" s="399"/>
      <c r="DH16" s="399"/>
      <c r="DI16" s="399"/>
      <c r="DJ16" s="399"/>
      <c r="DK16" s="399">
        <v>0</v>
      </c>
      <c r="DL16" s="399"/>
      <c r="DM16" s="399"/>
      <c r="DN16" s="399"/>
      <c r="DO16" s="399"/>
      <c r="DP16" s="399"/>
      <c r="DQ16" s="399"/>
      <c r="DR16" s="399"/>
      <c r="DS16" s="399"/>
      <c r="DT16" s="399"/>
      <c r="DU16" s="399"/>
      <c r="DV16" s="399"/>
      <c r="DW16" s="399"/>
      <c r="DX16" s="399"/>
      <c r="DY16" s="399"/>
      <c r="DZ16" s="399"/>
      <c r="EA16" s="399"/>
      <c r="EB16" s="399"/>
      <c r="EC16" s="399"/>
      <c r="ED16" s="399"/>
      <c r="EE16" s="399"/>
      <c r="EF16" s="399"/>
      <c r="EG16" s="399"/>
      <c r="EH16" s="399"/>
      <c r="EI16" s="399"/>
      <c r="EJ16" s="399"/>
      <c r="EK16" s="399"/>
      <c r="EL16" s="399"/>
      <c r="EM16" s="399"/>
      <c r="EN16" s="399"/>
      <c r="EO16" s="399"/>
      <c r="EP16" s="399"/>
      <c r="EQ16" s="399"/>
      <c r="ER16" s="399"/>
      <c r="ES16" s="399"/>
      <c r="ET16" s="399"/>
      <c r="EU16" s="399"/>
      <c r="EV16" s="399">
        <v>227</v>
      </c>
      <c r="EW16" s="399"/>
      <c r="EX16" s="399"/>
      <c r="EY16" s="399"/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2328</v>
      </c>
      <c r="D17" s="399" t="s">
        <v>2335</v>
      </c>
      <c r="E17" s="399" t="s">
        <v>894</v>
      </c>
      <c r="F17" s="399" t="s">
        <v>2342</v>
      </c>
      <c r="G17" s="399" t="s">
        <v>2340</v>
      </c>
      <c r="H17" s="399" t="s">
        <v>1239</v>
      </c>
      <c r="I17" s="399" t="s">
        <v>1239</v>
      </c>
      <c r="J17" s="399" t="s">
        <v>2329</v>
      </c>
      <c r="K17" s="789">
        <v>44440</v>
      </c>
      <c r="L17" s="399">
        <v>0</v>
      </c>
      <c r="M17" s="399">
        <v>0</v>
      </c>
      <c r="N17" s="399">
        <v>0.39500000000000002</v>
      </c>
      <c r="O17" s="399">
        <v>0.39500000000000002</v>
      </c>
      <c r="P17" s="399">
        <v>0.39500000000000002</v>
      </c>
      <c r="Q17" s="399">
        <v>0.39500000000000002</v>
      </c>
      <c r="R17" s="399"/>
      <c r="S17" s="399">
        <v>425.49</v>
      </c>
      <c r="T17" s="399">
        <v>205.96</v>
      </c>
      <c r="U17" s="399"/>
      <c r="V17" s="399">
        <v>249.42275000000001</v>
      </c>
      <c r="W17" s="399">
        <v>249.42275000000001</v>
      </c>
      <c r="X17" s="399">
        <v>186.66910000000001</v>
      </c>
      <c r="Y17" s="399">
        <v>0</v>
      </c>
      <c r="Z17" s="399">
        <v>24.084770979556044</v>
      </c>
      <c r="AA17" s="399">
        <v>0</v>
      </c>
      <c r="AB17" s="399">
        <v>0</v>
      </c>
      <c r="AC17" s="399">
        <v>0</v>
      </c>
      <c r="AD17" s="399">
        <v>32.019598930276743</v>
      </c>
      <c r="AE17" s="399">
        <v>98.370172015920772</v>
      </c>
      <c r="AF17" s="399">
        <v>79.369635733369023</v>
      </c>
      <c r="AG17" s="399">
        <v>1.9861986471020201</v>
      </c>
      <c r="AH17" s="399">
        <v>0</v>
      </c>
      <c r="AI17" s="399">
        <v>0</v>
      </c>
      <c r="AJ17" s="399">
        <v>0</v>
      </c>
      <c r="AK17" s="399">
        <v>0</v>
      </c>
      <c r="AL17" s="399">
        <v>3.7221524582644783</v>
      </c>
      <c r="AM17" s="399"/>
      <c r="AN17" s="399">
        <v>0.42737149848486616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9.4454240668451366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>
        <v>22.40440000000001</v>
      </c>
      <c r="BS17" s="399"/>
      <c r="BT17" s="399"/>
      <c r="BU17" s="399"/>
      <c r="BV17" s="399">
        <v>88.815059800214158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166.34399999999999</v>
      </c>
      <c r="CJ17" s="399">
        <v>-53.179599999999994</v>
      </c>
      <c r="CK17" s="399"/>
      <c r="CL17" s="399"/>
      <c r="CM17" s="399"/>
      <c r="CN17" s="399"/>
      <c r="CO17" s="399">
        <v>-67.138149999999996</v>
      </c>
      <c r="CP17" s="399">
        <v>4.3844999999999983</v>
      </c>
      <c r="CQ17" s="399">
        <v>30</v>
      </c>
      <c r="CR17" s="399">
        <v>-2.7445532481065129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-4.000266833763618</v>
      </c>
      <c r="DA17" s="399">
        <v>0</v>
      </c>
      <c r="DB17" s="399">
        <v>0</v>
      </c>
      <c r="DC17" s="399">
        <v>4.3833621710473238</v>
      </c>
      <c r="DD17" s="399">
        <v>0</v>
      </c>
      <c r="DE17" s="399">
        <v>0</v>
      </c>
      <c r="DF17" s="399">
        <v>0</v>
      </c>
      <c r="DG17" s="399">
        <v>0.52164425553367977</v>
      </c>
      <c r="DH17" s="399">
        <v>0</v>
      </c>
      <c r="DI17" s="399">
        <v>-3.156188897017504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-0.41557291458816392</v>
      </c>
      <c r="DP17" s="399">
        <v>-7.7531029318258948E-2</v>
      </c>
      <c r="DQ17" s="399">
        <v>0</v>
      </c>
      <c r="DR17" s="399">
        <v>0</v>
      </c>
      <c r="DS17" s="399"/>
      <c r="DT17" s="399"/>
      <c r="DU17" s="399"/>
      <c r="DV17" s="399">
        <v>98.370172015920772</v>
      </c>
      <c r="DW17" s="399">
        <v>0</v>
      </c>
      <c r="DX17" s="399">
        <v>0</v>
      </c>
      <c r="DY17" s="399">
        <v>-67.13815000000001</v>
      </c>
      <c r="DZ17" s="399">
        <v>4.3845000000000027</v>
      </c>
      <c r="EA17" s="399">
        <v>0</v>
      </c>
      <c r="EB17" s="399">
        <v>0</v>
      </c>
      <c r="EC17" s="399">
        <v>-60.012344780371421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227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2328</v>
      </c>
      <c r="D18" s="399" t="s">
        <v>2335</v>
      </c>
      <c r="E18" s="399" t="s">
        <v>894</v>
      </c>
      <c r="F18" s="399" t="s">
        <v>2342</v>
      </c>
      <c r="G18" s="399" t="s">
        <v>2341</v>
      </c>
      <c r="H18" s="399" t="s">
        <v>1239</v>
      </c>
      <c r="I18" s="399" t="s">
        <v>1239</v>
      </c>
      <c r="J18" s="399" t="s">
        <v>2329</v>
      </c>
      <c r="K18" s="789">
        <v>44440</v>
      </c>
      <c r="L18" s="399">
        <v>0</v>
      </c>
      <c r="M18" s="399">
        <v>0</v>
      </c>
      <c r="N18" s="399">
        <v>0.30399999999999999</v>
      </c>
      <c r="O18" s="399">
        <v>0.1216</v>
      </c>
      <c r="P18" s="399">
        <v>0.30399999999999999</v>
      </c>
      <c r="Q18" s="399">
        <v>0.1216</v>
      </c>
      <c r="R18" s="399"/>
      <c r="S18" s="399">
        <v>425.49</v>
      </c>
      <c r="T18" s="399">
        <v>205.96</v>
      </c>
      <c r="U18" s="399"/>
      <c r="V18" s="399">
        <v>191.96080000000001</v>
      </c>
      <c r="W18" s="399">
        <v>191.96080000000001</v>
      </c>
      <c r="X18" s="399">
        <v>143.66431999999998</v>
      </c>
      <c r="Y18" s="399">
        <v>0</v>
      </c>
      <c r="Z18" s="399">
        <v>18.536127538696295</v>
      </c>
      <c r="AA18" s="399">
        <v>0</v>
      </c>
      <c r="AB18" s="399">
        <v>0</v>
      </c>
      <c r="AC18" s="399">
        <v>0</v>
      </c>
      <c r="AD18" s="399">
        <v>24.642931834947159</v>
      </c>
      <c r="AE18" s="399">
        <v>75.707676690733948</v>
      </c>
      <c r="AF18" s="399">
        <v>61.084479146694129</v>
      </c>
      <c r="AG18" s="399">
        <v>1.5286187056177571</v>
      </c>
      <c r="AH18" s="399">
        <v>0</v>
      </c>
      <c r="AI18" s="399">
        <v>0</v>
      </c>
      <c r="AJ18" s="399">
        <v>0</v>
      </c>
      <c r="AK18" s="399">
        <v>0</v>
      </c>
      <c r="AL18" s="399">
        <v>2.8646439172465858</v>
      </c>
      <c r="AM18" s="399"/>
      <c r="AN18" s="399">
        <v>0.32891376085923874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7.2693896615719522</v>
      </c>
      <c r="BH18" s="399">
        <v>0</v>
      </c>
      <c r="BI18" s="399">
        <v>0</v>
      </c>
      <c r="BJ18" s="399">
        <v>0</v>
      </c>
      <c r="BK18" s="399">
        <v>0</v>
      </c>
      <c r="BL18" s="399">
        <v>0</v>
      </c>
      <c r="BM18" s="399"/>
      <c r="BN18" s="399"/>
      <c r="BO18" s="399"/>
      <c r="BP18" s="399"/>
      <c r="BQ18" s="399"/>
      <c r="BR18" s="399"/>
      <c r="BS18" s="399">
        <v>93.09574400000001</v>
      </c>
      <c r="BT18" s="399"/>
      <c r="BU18" s="399"/>
      <c r="BV18" s="399">
        <v>68.353868808266085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49.903199999999998</v>
      </c>
      <c r="CJ18" s="399">
        <v>-17.697488000000007</v>
      </c>
      <c r="CK18" s="399"/>
      <c r="CL18" s="399"/>
      <c r="CM18" s="399"/>
      <c r="CN18" s="399"/>
      <c r="CO18" s="399">
        <v>-51.670879999999997</v>
      </c>
      <c r="CP18" s="399">
        <v>3.3743999999999983</v>
      </c>
      <c r="CQ18" s="399">
        <v>30</v>
      </c>
      <c r="CR18" s="399">
        <v>-2.1122637656313685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-3.078686373326935</v>
      </c>
      <c r="DA18" s="399">
        <v>0</v>
      </c>
      <c r="DB18" s="399">
        <v>0</v>
      </c>
      <c r="DC18" s="399">
        <v>3.3735243037933813</v>
      </c>
      <c r="DD18" s="399">
        <v>0</v>
      </c>
      <c r="DE18" s="399">
        <v>0</v>
      </c>
      <c r="DF18" s="399">
        <v>0</v>
      </c>
      <c r="DG18" s="399">
        <v>0.4014679840056683</v>
      </c>
      <c r="DH18" s="399">
        <v>0</v>
      </c>
      <c r="DI18" s="399">
        <v>-2.4290668979577745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-0.31983333173367567</v>
      </c>
      <c r="DP18" s="399">
        <v>-5.9669450412027092E-2</v>
      </c>
      <c r="DQ18" s="399">
        <v>0</v>
      </c>
      <c r="DR18" s="399">
        <v>0</v>
      </c>
      <c r="DS18" s="399"/>
      <c r="DT18" s="399"/>
      <c r="DU18" s="399"/>
      <c r="DV18" s="399">
        <v>75.707676690733948</v>
      </c>
      <c r="DW18" s="399">
        <v>0</v>
      </c>
      <c r="DX18" s="399">
        <v>0</v>
      </c>
      <c r="DY18" s="399">
        <v>-51.670880000000011</v>
      </c>
      <c r="DZ18" s="399">
        <v>3.3743999999999943</v>
      </c>
      <c r="EA18" s="399">
        <v>0</v>
      </c>
      <c r="EB18" s="399">
        <v>0</v>
      </c>
      <c r="EC18" s="399">
        <v>-46.186715982868122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227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2328</v>
      </c>
      <c r="D19" s="399" t="s">
        <v>1823</v>
      </c>
      <c r="E19" s="399" t="s">
        <v>889</v>
      </c>
      <c r="F19" s="399" t="s">
        <v>889</v>
      </c>
      <c r="G19" s="399" t="s">
        <v>1239</v>
      </c>
      <c r="H19" s="399" t="s">
        <v>1239</v>
      </c>
      <c r="I19" s="399" t="s">
        <v>1239</v>
      </c>
      <c r="J19" s="399" t="s">
        <v>2329</v>
      </c>
      <c r="K19" s="789">
        <v>44470</v>
      </c>
      <c r="L19" s="399">
        <v>0</v>
      </c>
      <c r="M19" s="399">
        <v>0</v>
      </c>
      <c r="N19" s="399">
        <v>201.434</v>
      </c>
      <c r="O19" s="399">
        <v>201.434</v>
      </c>
      <c r="P19" s="399">
        <v>201.434</v>
      </c>
      <c r="Q19" s="399">
        <v>201.434</v>
      </c>
      <c r="R19" s="399"/>
      <c r="S19" s="399">
        <v>425.49</v>
      </c>
      <c r="T19" s="399">
        <v>205.96</v>
      </c>
      <c r="U19" s="399"/>
      <c r="V19" s="399">
        <v>127195.49930000001</v>
      </c>
      <c r="W19" s="399">
        <v>127195.49930000001</v>
      </c>
      <c r="X19" s="399">
        <v>95193.67972</v>
      </c>
      <c r="Y19" s="399">
        <v>0</v>
      </c>
      <c r="Z19" s="399">
        <v>12282.257613913651</v>
      </c>
      <c r="AA19" s="399">
        <v>0</v>
      </c>
      <c r="AB19" s="399">
        <v>0</v>
      </c>
      <c r="AC19" s="399">
        <v>0</v>
      </c>
      <c r="AD19" s="399">
        <v>16328.69845802877</v>
      </c>
      <c r="AE19" s="399">
        <v>50164.803113556918</v>
      </c>
      <c r="AF19" s="399">
        <v>40475.299251431526</v>
      </c>
      <c r="AG19" s="399">
        <v>1012.880856405945</v>
      </c>
      <c r="AH19" s="399">
        <v>0</v>
      </c>
      <c r="AI19" s="399">
        <v>0</v>
      </c>
      <c r="AJ19" s="399">
        <v>0</v>
      </c>
      <c r="AK19" s="399">
        <v>0</v>
      </c>
      <c r="AL19" s="399">
        <v>1898.1469829823973</v>
      </c>
      <c r="AM19" s="399"/>
      <c r="AN19" s="399">
        <v>217.94215297671019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4816.7836746351468</v>
      </c>
      <c r="BH19" s="399">
        <v>0</v>
      </c>
      <c r="BI19" s="399">
        <v>535.97</v>
      </c>
      <c r="BJ19" s="399">
        <v>2475.73</v>
      </c>
      <c r="BK19" s="399">
        <v>28719.360000000001</v>
      </c>
      <c r="BL19" s="399">
        <v>938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45292.082926066672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95191.789400000009</v>
      </c>
      <c r="CJ19" s="399">
        <v>-32003.739899999986</v>
      </c>
      <c r="CK19" s="399"/>
      <c r="CL19" s="399"/>
      <c r="CM19" s="399"/>
      <c r="CN19" s="399"/>
      <c r="CO19" s="399">
        <v>-34237.736980000001</v>
      </c>
      <c r="CP19" s="399">
        <v>2235.9173999999989</v>
      </c>
      <c r="CQ19" s="399">
        <v>31</v>
      </c>
      <c r="CR19" s="399">
        <v>-1399.6109847571934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-2039.9740490945314</v>
      </c>
      <c r="DA19" s="399">
        <v>0</v>
      </c>
      <c r="DB19" s="399">
        <v>0</v>
      </c>
      <c r="DC19" s="399">
        <v>2235.3371533234167</v>
      </c>
      <c r="DD19" s="399">
        <v>0</v>
      </c>
      <c r="DE19" s="399">
        <v>0</v>
      </c>
      <c r="DF19" s="399">
        <v>0</v>
      </c>
      <c r="DG19" s="399">
        <v>266.0174404282825</v>
      </c>
      <c r="DH19" s="399">
        <v>0</v>
      </c>
      <c r="DI19" s="399">
        <v>-1609.5284918527195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-211.92535310671451</v>
      </c>
      <c r="DP19" s="399">
        <v>-39.53768445492193</v>
      </c>
      <c r="DQ19" s="399">
        <v>0</v>
      </c>
      <c r="DR19" s="399">
        <v>0</v>
      </c>
      <c r="DS19" s="399"/>
      <c r="DT19" s="399"/>
      <c r="DU19" s="399"/>
      <c r="DV19" s="399">
        <v>50164.803113556918</v>
      </c>
      <c r="DW19" s="399">
        <v>0</v>
      </c>
      <c r="DX19" s="399">
        <v>0</v>
      </c>
      <c r="DY19" s="399">
        <v>-34237.736980000009</v>
      </c>
      <c r="DZ19" s="399">
        <v>2235.9173999999985</v>
      </c>
      <c r="EA19" s="399">
        <v>0</v>
      </c>
      <c r="EB19" s="399">
        <v>0</v>
      </c>
      <c r="EC19" s="399">
        <v>-30603.864958200847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227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2328</v>
      </c>
      <c r="D20" s="399" t="s">
        <v>1823</v>
      </c>
      <c r="E20" s="399" t="s">
        <v>889</v>
      </c>
      <c r="F20" s="399" t="s">
        <v>2330</v>
      </c>
      <c r="G20" s="399" t="s">
        <v>1239</v>
      </c>
      <c r="H20" s="399" t="s">
        <v>1239</v>
      </c>
      <c r="I20" s="399" t="s">
        <v>1239</v>
      </c>
      <c r="J20" s="399" t="s">
        <v>2329</v>
      </c>
      <c r="K20" s="789">
        <v>44470</v>
      </c>
      <c r="L20" s="399">
        <v>0</v>
      </c>
      <c r="M20" s="399">
        <v>0</v>
      </c>
      <c r="N20" s="399">
        <v>0.09</v>
      </c>
      <c r="O20" s="399">
        <v>0.09</v>
      </c>
      <c r="P20" s="399">
        <v>0.09</v>
      </c>
      <c r="Q20" s="399">
        <v>0.09</v>
      </c>
      <c r="R20" s="399"/>
      <c r="S20" s="399">
        <v>355.1</v>
      </c>
      <c r="T20" s="399">
        <v>205.96</v>
      </c>
      <c r="U20" s="399"/>
      <c r="V20" s="399">
        <v>50.495400000000004</v>
      </c>
      <c r="W20" s="399">
        <v>50.495400000000004</v>
      </c>
      <c r="X20" s="399">
        <v>37.009799999999998</v>
      </c>
      <c r="Y20" s="399">
        <v>0</v>
      </c>
      <c r="Z20" s="399">
        <v>0</v>
      </c>
      <c r="AA20" s="399">
        <v>0</v>
      </c>
      <c r="AB20" s="399">
        <v>0</v>
      </c>
      <c r="AC20" s="399">
        <v>0</v>
      </c>
      <c r="AD20" s="399">
        <v>7.2956048195567247</v>
      </c>
      <c r="AE20" s="399">
        <v>22.413456915019921</v>
      </c>
      <c r="AF20" s="399">
        <v>18.084220800008129</v>
      </c>
      <c r="AG20" s="399">
        <v>0.45255159047894122</v>
      </c>
      <c r="AH20" s="399">
        <v>0</v>
      </c>
      <c r="AI20" s="399">
        <v>0</v>
      </c>
      <c r="AJ20" s="399">
        <v>0</v>
      </c>
      <c r="AK20" s="399">
        <v>0</v>
      </c>
      <c r="AL20" s="399">
        <v>0</v>
      </c>
      <c r="AM20" s="399"/>
      <c r="AN20" s="399">
        <v>9.7375784464906204E-2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2.1521219392811699</v>
      </c>
      <c r="BH20" s="399">
        <v>0</v>
      </c>
      <c r="BI20" s="399">
        <v>0.03</v>
      </c>
      <c r="BJ20" s="399">
        <v>0.23</v>
      </c>
      <c r="BK20" s="399">
        <v>1.97</v>
      </c>
      <c r="BL20" s="399">
        <v>1</v>
      </c>
      <c r="BM20" s="399"/>
      <c r="BN20" s="399"/>
      <c r="BO20" s="399"/>
      <c r="BP20" s="399"/>
      <c r="BQ20" s="399"/>
      <c r="BR20" s="399"/>
      <c r="BS20" s="399"/>
      <c r="BT20" s="399">
        <v>24.056100000000001</v>
      </c>
      <c r="BU20" s="399"/>
      <c r="BV20" s="399">
        <v>20.236342739289299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12.9537</v>
      </c>
      <c r="CJ20" s="399">
        <v>-4.7496000000000027</v>
      </c>
      <c r="CK20" s="399"/>
      <c r="CL20" s="399"/>
      <c r="CM20" s="399"/>
      <c r="CN20" s="399"/>
      <c r="CO20" s="399">
        <v>-14.484600000000002</v>
      </c>
      <c r="CP20" s="399">
        <v>0.99899999999999944</v>
      </c>
      <c r="CQ20" s="399">
        <v>31</v>
      </c>
      <c r="CR20" s="399">
        <v>0.18847790054411107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-0.91145320262968443</v>
      </c>
      <c r="DA20" s="399">
        <v>0</v>
      </c>
      <c r="DB20" s="399">
        <v>0</v>
      </c>
      <c r="DC20" s="399">
        <v>0.99874074783356903</v>
      </c>
      <c r="DD20" s="399">
        <v>0</v>
      </c>
      <c r="DE20" s="399">
        <v>0</v>
      </c>
      <c r="DF20" s="399">
        <v>0</v>
      </c>
      <c r="DG20" s="399">
        <v>0.11885565315957303</v>
      </c>
      <c r="DH20" s="399">
        <v>0</v>
      </c>
      <c r="DI20" s="399">
        <v>0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0</v>
      </c>
      <c r="DP20" s="399">
        <v>-1.7665297819350126E-2</v>
      </c>
      <c r="DQ20" s="399">
        <v>0</v>
      </c>
      <c r="DR20" s="399">
        <v>0</v>
      </c>
      <c r="DS20" s="399"/>
      <c r="DT20" s="399"/>
      <c r="DU20" s="399"/>
      <c r="DV20" s="399">
        <v>22.413456915019921</v>
      </c>
      <c r="DW20" s="399">
        <v>0</v>
      </c>
      <c r="DX20" s="399">
        <v>0</v>
      </c>
      <c r="DY20" s="399">
        <v>-14.4846</v>
      </c>
      <c r="DZ20" s="399">
        <v>0.99899999999999878</v>
      </c>
      <c r="EA20" s="399">
        <v>0</v>
      </c>
      <c r="EB20" s="399">
        <v>0</v>
      </c>
      <c r="EC20" s="399">
        <v>-13.673698810717537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227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2328</v>
      </c>
      <c r="D21" s="399" t="s">
        <v>1823</v>
      </c>
      <c r="E21" s="399" t="s">
        <v>889</v>
      </c>
      <c r="F21" s="399" t="s">
        <v>2331</v>
      </c>
      <c r="G21" s="399" t="s">
        <v>1239</v>
      </c>
      <c r="H21" s="399" t="s">
        <v>1239</v>
      </c>
      <c r="I21" s="399" t="s">
        <v>1239</v>
      </c>
      <c r="J21" s="399" t="s">
        <v>2329</v>
      </c>
      <c r="K21" s="789">
        <v>44470</v>
      </c>
      <c r="L21" s="399">
        <v>0</v>
      </c>
      <c r="M21" s="399">
        <v>0</v>
      </c>
      <c r="N21" s="399">
        <v>0.14000000000000001</v>
      </c>
      <c r="O21" s="399">
        <v>0.14000000000000001</v>
      </c>
      <c r="P21" s="399">
        <v>0.14000000000000001</v>
      </c>
      <c r="Q21" s="399">
        <v>0.14000000000000001</v>
      </c>
      <c r="R21" s="399"/>
      <c r="S21" s="399">
        <v>355.1</v>
      </c>
      <c r="T21" s="399">
        <v>205.96</v>
      </c>
      <c r="U21" s="399"/>
      <c r="V21" s="399">
        <v>78.548400000000015</v>
      </c>
      <c r="W21" s="399">
        <v>78.548400000000015</v>
      </c>
      <c r="X21" s="399">
        <v>57.570800000000006</v>
      </c>
      <c r="Y21" s="399">
        <v>0</v>
      </c>
      <c r="Z21" s="399">
        <v>0</v>
      </c>
      <c r="AA21" s="399">
        <v>0</v>
      </c>
      <c r="AB21" s="399">
        <v>0</v>
      </c>
      <c r="AC21" s="399">
        <v>0</v>
      </c>
      <c r="AD21" s="399">
        <v>11.348718608199352</v>
      </c>
      <c r="AE21" s="399">
        <v>34.865377423364322</v>
      </c>
      <c r="AF21" s="399">
        <v>28.131010133345981</v>
      </c>
      <c r="AG21" s="399">
        <v>0.70396914074501982</v>
      </c>
      <c r="AH21" s="399">
        <v>0</v>
      </c>
      <c r="AI21" s="399">
        <v>0</v>
      </c>
      <c r="AJ21" s="399">
        <v>0</v>
      </c>
      <c r="AK21" s="399">
        <v>0</v>
      </c>
      <c r="AL21" s="399">
        <v>0</v>
      </c>
      <c r="AM21" s="399"/>
      <c r="AN21" s="399">
        <v>0.15147344250096523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3.3477452388818203</v>
      </c>
      <c r="BH21" s="399">
        <v>0</v>
      </c>
      <c r="BI21" s="399">
        <v>0.12</v>
      </c>
      <c r="BJ21" s="399">
        <v>0.56000000000000005</v>
      </c>
      <c r="BK21" s="399">
        <v>4.9400000000000004</v>
      </c>
      <c r="BL21" s="399">
        <v>0</v>
      </c>
      <c r="BM21" s="399"/>
      <c r="BN21" s="399"/>
      <c r="BO21" s="399"/>
      <c r="BP21" s="399"/>
      <c r="BQ21" s="399"/>
      <c r="BR21" s="399"/>
      <c r="BS21" s="399"/>
      <c r="BT21" s="399">
        <v>23.027200000000001</v>
      </c>
      <c r="BU21" s="399"/>
      <c r="BV21" s="399">
        <v>31.478755372227802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34.543600000000005</v>
      </c>
      <c r="CJ21" s="399">
        <v>-12.616</v>
      </c>
      <c r="CK21" s="399"/>
      <c r="CL21" s="399"/>
      <c r="CM21" s="399"/>
      <c r="CN21" s="399"/>
      <c r="CO21" s="399">
        <v>-22.531600000000005</v>
      </c>
      <c r="CP21" s="399">
        <v>1.5539999999999994</v>
      </c>
      <c r="CQ21" s="399">
        <v>31</v>
      </c>
      <c r="CR21" s="399">
        <v>0.29318784529083075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-1.4178160929795105</v>
      </c>
      <c r="DA21" s="399">
        <v>0</v>
      </c>
      <c r="DB21" s="399">
        <v>0</v>
      </c>
      <c r="DC21" s="399">
        <v>1.5535967188522193</v>
      </c>
      <c r="DD21" s="399">
        <v>0</v>
      </c>
      <c r="DE21" s="399">
        <v>0</v>
      </c>
      <c r="DF21" s="399">
        <v>0</v>
      </c>
      <c r="DG21" s="399">
        <v>0.18488657158155819</v>
      </c>
      <c r="DH21" s="399">
        <v>0</v>
      </c>
      <c r="DI21" s="399">
        <v>0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0</v>
      </c>
      <c r="DP21" s="399">
        <v>-2.7479352163433543E-2</v>
      </c>
      <c r="DQ21" s="399">
        <v>0</v>
      </c>
      <c r="DR21" s="399">
        <v>0</v>
      </c>
      <c r="DS21" s="399"/>
      <c r="DT21" s="399"/>
      <c r="DU21" s="399"/>
      <c r="DV21" s="399">
        <v>34.865377423364322</v>
      </c>
      <c r="DW21" s="399">
        <v>0</v>
      </c>
      <c r="DX21" s="399">
        <v>0</v>
      </c>
      <c r="DY21" s="399">
        <v>-22.531600000000005</v>
      </c>
      <c r="DZ21" s="399">
        <v>1.554000000000002</v>
      </c>
      <c r="EA21" s="399">
        <v>0</v>
      </c>
      <c r="EB21" s="399">
        <v>0</v>
      </c>
      <c r="EC21" s="399">
        <v>-21.270198150005058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227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2328</v>
      </c>
      <c r="D22" s="399" t="s">
        <v>1823</v>
      </c>
      <c r="E22" s="399" t="s">
        <v>889</v>
      </c>
      <c r="F22" s="399" t="s">
        <v>2332</v>
      </c>
      <c r="G22" s="399" t="s">
        <v>1239</v>
      </c>
      <c r="H22" s="399" t="s">
        <v>1239</v>
      </c>
      <c r="I22" s="399" t="s">
        <v>1239</v>
      </c>
      <c r="J22" s="399" t="s">
        <v>2329</v>
      </c>
      <c r="K22" s="789">
        <v>44470</v>
      </c>
      <c r="L22" s="399">
        <v>0</v>
      </c>
      <c r="M22" s="399">
        <v>0</v>
      </c>
      <c r="N22" s="399">
        <v>0.22500000000000001</v>
      </c>
      <c r="O22" s="399">
        <v>0.22500000000000001</v>
      </c>
      <c r="P22" s="399">
        <v>0.22500000000000001</v>
      </c>
      <c r="Q22" s="399">
        <v>0.22500000000000001</v>
      </c>
      <c r="R22" s="399"/>
      <c r="S22" s="399">
        <v>355.1</v>
      </c>
      <c r="T22" s="399">
        <v>205.96</v>
      </c>
      <c r="U22" s="399"/>
      <c r="V22" s="399">
        <v>126.23850000000002</v>
      </c>
      <c r="W22" s="399">
        <v>126.23850000000002</v>
      </c>
      <c r="X22" s="399">
        <v>92.524500000000003</v>
      </c>
      <c r="Y22" s="399">
        <v>0</v>
      </c>
      <c r="Z22" s="399">
        <v>0</v>
      </c>
      <c r="AA22" s="399">
        <v>0</v>
      </c>
      <c r="AB22" s="399">
        <v>0</v>
      </c>
      <c r="AC22" s="399">
        <v>0</v>
      </c>
      <c r="AD22" s="399">
        <v>18.239012048891812</v>
      </c>
      <c r="AE22" s="399">
        <v>56.033642287549803</v>
      </c>
      <c r="AF22" s="399">
        <v>45.210552000020328</v>
      </c>
      <c r="AG22" s="399">
        <v>1.1313789761973532</v>
      </c>
      <c r="AH22" s="399">
        <v>0</v>
      </c>
      <c r="AI22" s="399">
        <v>0</v>
      </c>
      <c r="AJ22" s="399">
        <v>0</v>
      </c>
      <c r="AK22" s="399">
        <v>0</v>
      </c>
      <c r="AL22" s="399">
        <v>0</v>
      </c>
      <c r="AM22" s="399"/>
      <c r="AN22" s="399">
        <v>0.24343946116226553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5.3803048482029254</v>
      </c>
      <c r="BH22" s="399">
        <v>0</v>
      </c>
      <c r="BI22" s="399">
        <v>0.38</v>
      </c>
      <c r="BJ22" s="399">
        <v>1.73</v>
      </c>
      <c r="BK22" s="399">
        <v>24.2</v>
      </c>
      <c r="BL22" s="399">
        <v>1</v>
      </c>
      <c r="BM22" s="399"/>
      <c r="BN22" s="399"/>
      <c r="BO22" s="399"/>
      <c r="BP22" s="399"/>
      <c r="BQ22" s="399"/>
      <c r="BR22" s="399"/>
      <c r="BS22" s="399"/>
      <c r="BT22" s="399">
        <v>9.249749999999997</v>
      </c>
      <c r="BU22" s="399"/>
      <c r="BV22" s="399">
        <v>50.590856848223254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85.12530000000001</v>
      </c>
      <c r="CJ22" s="399">
        <v>-28.520699999999991</v>
      </c>
      <c r="CK22" s="399"/>
      <c r="CL22" s="399"/>
      <c r="CM22" s="399"/>
      <c r="CN22" s="399"/>
      <c r="CO22" s="399">
        <v>-36.211500000000008</v>
      </c>
      <c r="CP22" s="399">
        <v>2.4974999999999987</v>
      </c>
      <c r="CQ22" s="399">
        <v>31</v>
      </c>
      <c r="CR22" s="399">
        <v>0.47119475136027233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-2.2786330065742106</v>
      </c>
      <c r="DA22" s="399">
        <v>0</v>
      </c>
      <c r="DB22" s="399">
        <v>0</v>
      </c>
      <c r="DC22" s="399">
        <v>2.4968518695839208</v>
      </c>
      <c r="DD22" s="399">
        <v>0</v>
      </c>
      <c r="DE22" s="399">
        <v>0</v>
      </c>
      <c r="DF22" s="399">
        <v>0</v>
      </c>
      <c r="DG22" s="399">
        <v>0.29713913289893235</v>
      </c>
      <c r="DH22" s="399">
        <v>0</v>
      </c>
      <c r="DI22" s="399">
        <v>0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0</v>
      </c>
      <c r="DP22" s="399">
        <v>-4.4163244548375336E-2</v>
      </c>
      <c r="DQ22" s="399">
        <v>0</v>
      </c>
      <c r="DR22" s="399">
        <v>0</v>
      </c>
      <c r="DS22" s="399"/>
      <c r="DT22" s="399"/>
      <c r="DU22" s="399"/>
      <c r="DV22" s="399">
        <v>56.033642287549803</v>
      </c>
      <c r="DW22" s="399">
        <v>0</v>
      </c>
      <c r="DX22" s="399">
        <v>0</v>
      </c>
      <c r="DY22" s="399">
        <v>-36.211500000000008</v>
      </c>
      <c r="DZ22" s="399">
        <v>2.4975000000000023</v>
      </c>
      <c r="EA22" s="399">
        <v>0</v>
      </c>
      <c r="EB22" s="399">
        <v>0</v>
      </c>
      <c r="EC22" s="399">
        <v>-34.184247026793841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227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2328</v>
      </c>
      <c r="D23" s="399" t="s">
        <v>1823</v>
      </c>
      <c r="E23" s="399" t="s">
        <v>889</v>
      </c>
      <c r="F23" s="399" t="s">
        <v>2333</v>
      </c>
      <c r="G23" s="399" t="s">
        <v>1239</v>
      </c>
      <c r="H23" s="399" t="s">
        <v>1239</v>
      </c>
      <c r="I23" s="399" t="s">
        <v>1239</v>
      </c>
      <c r="J23" s="399" t="s">
        <v>2329</v>
      </c>
      <c r="K23" s="789">
        <v>44470</v>
      </c>
      <c r="L23" s="399">
        <v>0</v>
      </c>
      <c r="M23" s="399">
        <v>0</v>
      </c>
      <c r="N23" s="399">
        <v>4.1000000000000002E-2</v>
      </c>
      <c r="O23" s="399">
        <v>4.1000000000000002E-2</v>
      </c>
      <c r="P23" s="399">
        <v>4.1000000000000002E-2</v>
      </c>
      <c r="Q23" s="399">
        <v>4.1000000000000002E-2</v>
      </c>
      <c r="R23" s="399"/>
      <c r="S23" s="399">
        <v>355.1</v>
      </c>
      <c r="T23" s="399">
        <v>205.96</v>
      </c>
      <c r="U23" s="399"/>
      <c r="V23" s="399">
        <v>23.003460000000004</v>
      </c>
      <c r="W23" s="399">
        <v>23.003460000000004</v>
      </c>
      <c r="X23" s="399">
        <v>16.860020000000002</v>
      </c>
      <c r="Y23" s="399">
        <v>0</v>
      </c>
      <c r="Z23" s="399">
        <v>0</v>
      </c>
      <c r="AA23" s="399">
        <v>0</v>
      </c>
      <c r="AB23" s="399">
        <v>0</v>
      </c>
      <c r="AC23" s="399">
        <v>0</v>
      </c>
      <c r="AD23" s="399">
        <v>3.3235533066869527</v>
      </c>
      <c r="AE23" s="399">
        <v>10.210574816842408</v>
      </c>
      <c r="AF23" s="399">
        <v>8.2383672533370369</v>
      </c>
      <c r="AG23" s="399">
        <v>0.20616239121818436</v>
      </c>
      <c r="AH23" s="399">
        <v>0</v>
      </c>
      <c r="AI23" s="399">
        <v>0</v>
      </c>
      <c r="AJ23" s="399">
        <v>0</v>
      </c>
      <c r="AK23" s="399">
        <v>0</v>
      </c>
      <c r="AL23" s="399">
        <v>0</v>
      </c>
      <c r="AM23" s="399"/>
      <c r="AN23" s="399">
        <v>4.4360079589568384E-2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0.98041110567253309</v>
      </c>
      <c r="BH23" s="399">
        <v>0</v>
      </c>
      <c r="BI23" s="399">
        <v>0.14000000000000001</v>
      </c>
      <c r="BJ23" s="399">
        <v>0.65</v>
      </c>
      <c r="BK23" s="399">
        <v>10.210000000000001</v>
      </c>
      <c r="BL23" s="399">
        <v>1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9.2187783590095691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16.448799999999999</v>
      </c>
      <c r="CJ23" s="399">
        <v>-6.5846600000000031</v>
      </c>
      <c r="CK23" s="399"/>
      <c r="CL23" s="399"/>
      <c r="CM23" s="399"/>
      <c r="CN23" s="399"/>
      <c r="CO23" s="399">
        <v>-6.5985400000000016</v>
      </c>
      <c r="CP23" s="399">
        <v>0.45509999999999978</v>
      </c>
      <c r="CQ23" s="399">
        <v>31</v>
      </c>
      <c r="CR23" s="399">
        <v>8.5862154692314618E-2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-0.41521757008685656</v>
      </c>
      <c r="DA23" s="399">
        <v>0</v>
      </c>
      <c r="DB23" s="399">
        <v>0</v>
      </c>
      <c r="DC23" s="399">
        <v>0.45498189623529228</v>
      </c>
      <c r="DD23" s="399">
        <v>0</v>
      </c>
      <c r="DE23" s="399">
        <v>0</v>
      </c>
      <c r="DF23" s="399">
        <v>0</v>
      </c>
      <c r="DG23" s="399">
        <v>5.4145353106027638E-2</v>
      </c>
      <c r="DH23" s="399">
        <v>0</v>
      </c>
      <c r="DI23" s="399">
        <v>0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0</v>
      </c>
      <c r="DP23" s="399">
        <v>-8.0475245621483907E-3</v>
      </c>
      <c r="DQ23" s="399">
        <v>0</v>
      </c>
      <c r="DR23" s="399">
        <v>0</v>
      </c>
      <c r="DS23" s="399"/>
      <c r="DT23" s="399"/>
      <c r="DU23" s="399"/>
      <c r="DV23" s="399">
        <v>10.210574816842408</v>
      </c>
      <c r="DW23" s="399">
        <v>0</v>
      </c>
      <c r="DX23" s="399">
        <v>0</v>
      </c>
      <c r="DY23" s="399">
        <v>-6.5985400000000007</v>
      </c>
      <c r="DZ23" s="399">
        <v>0.45509999999999984</v>
      </c>
      <c r="EA23" s="399">
        <v>0</v>
      </c>
      <c r="EB23" s="399">
        <v>0</v>
      </c>
      <c r="EC23" s="399">
        <v>-6.2291294582157661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227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2328</v>
      </c>
      <c r="D24" s="399" t="s">
        <v>1826</v>
      </c>
      <c r="E24" s="399" t="s">
        <v>890</v>
      </c>
      <c r="F24" s="399" t="s">
        <v>1239</v>
      </c>
      <c r="G24" s="399" t="s">
        <v>1239</v>
      </c>
      <c r="H24" s="399" t="s">
        <v>1239</v>
      </c>
      <c r="I24" s="399" t="s">
        <v>1239</v>
      </c>
      <c r="J24" s="399" t="s">
        <v>2329</v>
      </c>
      <c r="K24" s="789">
        <v>44470</v>
      </c>
      <c r="L24" s="399">
        <v>0</v>
      </c>
      <c r="M24" s="399">
        <v>0</v>
      </c>
      <c r="N24" s="399">
        <v>69.855000000000004</v>
      </c>
      <c r="O24" s="399">
        <v>69.855000000000004</v>
      </c>
      <c r="P24" s="399">
        <v>69.855000000000004</v>
      </c>
      <c r="Q24" s="399">
        <v>69.855000000000004</v>
      </c>
      <c r="R24" s="399"/>
      <c r="S24" s="399">
        <v>425.49</v>
      </c>
      <c r="T24" s="399">
        <v>205.96</v>
      </c>
      <c r="U24" s="399"/>
      <c r="V24" s="399">
        <v>44109.939750000005</v>
      </c>
      <c r="W24" s="399">
        <v>44109.939750000005</v>
      </c>
      <c r="X24" s="399">
        <v>33012.075900000003</v>
      </c>
      <c r="Y24" s="399">
        <v>0</v>
      </c>
      <c r="Z24" s="399">
        <v>4259.3460171566776</v>
      </c>
      <c r="AA24" s="399">
        <v>0</v>
      </c>
      <c r="AB24" s="399">
        <v>0</v>
      </c>
      <c r="AC24" s="399">
        <v>0</v>
      </c>
      <c r="AD24" s="399">
        <v>5662.6052741126123</v>
      </c>
      <c r="AE24" s="399">
        <v>17396.578142207964</v>
      </c>
      <c r="AF24" s="399">
        <v>14036.36937760631</v>
      </c>
      <c r="AG24" s="399">
        <v>351.25545947673828</v>
      </c>
      <c r="AH24" s="399">
        <v>0</v>
      </c>
      <c r="AI24" s="399">
        <v>0</v>
      </c>
      <c r="AJ24" s="399">
        <v>0</v>
      </c>
      <c r="AK24" s="399">
        <v>0</v>
      </c>
      <c r="AL24" s="399">
        <v>658.25559486598775</v>
      </c>
      <c r="AM24" s="399"/>
      <c r="AN24" s="399">
        <v>75.579838042178039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1670.4053118720683</v>
      </c>
      <c r="BH24" s="399">
        <v>0</v>
      </c>
      <c r="BI24" s="399">
        <v>242.59</v>
      </c>
      <c r="BJ24" s="399">
        <v>1114.48</v>
      </c>
      <c r="BK24" s="399">
        <v>14959.28</v>
      </c>
      <c r="BL24" s="399">
        <v>41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15706.774689478378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33014.438800000004</v>
      </c>
      <c r="CJ24" s="399">
        <v>-11095.530949999993</v>
      </c>
      <c r="CK24" s="399"/>
      <c r="CL24" s="399"/>
      <c r="CM24" s="399"/>
      <c r="CN24" s="399"/>
      <c r="CO24" s="399">
        <v>-11873.254350000001</v>
      </c>
      <c r="CP24" s="399">
        <v>775.39049999999963</v>
      </c>
      <c r="CQ24" s="399">
        <v>31</v>
      </c>
      <c r="CR24" s="399">
        <v>-485.36903075058217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-707.43959410774096</v>
      </c>
      <c r="DA24" s="399">
        <v>0</v>
      </c>
      <c r="DB24" s="399">
        <v>0</v>
      </c>
      <c r="DC24" s="399">
        <v>775.18927711015567</v>
      </c>
      <c r="DD24" s="399">
        <v>0</v>
      </c>
      <c r="DE24" s="399">
        <v>0</v>
      </c>
      <c r="DF24" s="399">
        <v>0</v>
      </c>
      <c r="DG24" s="399">
        <v>92.251796127355192</v>
      </c>
      <c r="DH24" s="399">
        <v>0</v>
      </c>
      <c r="DI24" s="399">
        <v>-558.16601367381782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-73.493280882420777</v>
      </c>
      <c r="DP24" s="399">
        <v>-13.711215324118925</v>
      </c>
      <c r="DQ24" s="399">
        <v>0</v>
      </c>
      <c r="DR24" s="399">
        <v>0</v>
      </c>
      <c r="DS24" s="399"/>
      <c r="DT24" s="399"/>
      <c r="DU24" s="399"/>
      <c r="DV24" s="399">
        <v>17396.578142207964</v>
      </c>
      <c r="DW24" s="399">
        <v>0</v>
      </c>
      <c r="DX24" s="399">
        <v>0</v>
      </c>
      <c r="DY24" s="399">
        <v>-11873.254349999999</v>
      </c>
      <c r="DZ24" s="399">
        <v>775.39049999999952</v>
      </c>
      <c r="EA24" s="399">
        <v>0</v>
      </c>
      <c r="EB24" s="399">
        <v>0</v>
      </c>
      <c r="EC24" s="399">
        <v>-10613.069226918597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227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2334</v>
      </c>
      <c r="D25" s="399" t="s">
        <v>533</v>
      </c>
      <c r="E25" s="399" t="s">
        <v>890</v>
      </c>
      <c r="F25" s="399" t="s">
        <v>1239</v>
      </c>
      <c r="G25" s="399" t="s">
        <v>1239</v>
      </c>
      <c r="H25" s="399" t="s">
        <v>1239</v>
      </c>
      <c r="I25" s="399" t="s">
        <v>893</v>
      </c>
      <c r="J25" s="399" t="s">
        <v>2329</v>
      </c>
      <c r="K25" s="789">
        <v>44470</v>
      </c>
      <c r="L25" s="399">
        <v>0</v>
      </c>
      <c r="M25" s="399">
        <v>0</v>
      </c>
      <c r="N25" s="399">
        <v>10.847</v>
      </c>
      <c r="O25" s="399">
        <v>10.847</v>
      </c>
      <c r="P25" s="399">
        <v>10.847</v>
      </c>
      <c r="Q25" s="399">
        <v>10.847</v>
      </c>
      <c r="R25" s="399"/>
      <c r="S25" s="399">
        <v>2109.83</v>
      </c>
      <c r="T25" s="399">
        <v>205.96</v>
      </c>
      <c r="U25" s="399"/>
      <c r="V25" s="399">
        <v>25119.374129999997</v>
      </c>
      <c r="W25" s="399">
        <v>25119.374129999997</v>
      </c>
      <c r="X25" s="399">
        <v>14823.07632</v>
      </c>
      <c r="Y25" s="399">
        <v>0</v>
      </c>
      <c r="Z25" s="399">
        <v>575.40590989686734</v>
      </c>
      <c r="AA25" s="399">
        <v>0</v>
      </c>
      <c r="AB25" s="399">
        <v>0</v>
      </c>
      <c r="AC25" s="399">
        <v>0</v>
      </c>
      <c r="AD25" s="399">
        <v>6490.5850556398864</v>
      </c>
      <c r="AE25" s="399">
        <v>15610.241960075904</v>
      </c>
      <c r="AF25" s="399">
        <v>2179.5504779743133</v>
      </c>
      <c r="AG25" s="399">
        <v>54.542523354723066</v>
      </c>
      <c r="AH25" s="399">
        <v>0</v>
      </c>
      <c r="AI25" s="399">
        <v>0</v>
      </c>
      <c r="AJ25" s="399">
        <v>0</v>
      </c>
      <c r="AK25" s="399">
        <v>0</v>
      </c>
      <c r="AL25" s="399">
        <v>102.21313345517669</v>
      </c>
      <c r="AM25" s="399"/>
      <c r="AN25" s="399">
        <v>6.6977261473939453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100.1452295442827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2279.695707518596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14827.175999999999</v>
      </c>
      <c r="CJ25" s="399">
        <v>-10292.228129999992</v>
      </c>
      <c r="CK25" s="399"/>
      <c r="CL25" s="399"/>
      <c r="CM25" s="399"/>
      <c r="CN25" s="399"/>
      <c r="CO25" s="399">
        <v>-10416.699509999999</v>
      </c>
      <c r="CP25" s="399">
        <v>120.40169999999993</v>
      </c>
      <c r="CQ25" s="399">
        <v>31</v>
      </c>
      <c r="CR25" s="399">
        <v>-773.01049890553622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-810.88061678521262</v>
      </c>
      <c r="DA25" s="399">
        <v>0</v>
      </c>
      <c r="DB25" s="399">
        <v>0</v>
      </c>
      <c r="DC25" s="399">
        <v>120.3704543527856</v>
      </c>
      <c r="DD25" s="399">
        <v>0</v>
      </c>
      <c r="DE25" s="399">
        <v>0</v>
      </c>
      <c r="DF25" s="399">
        <v>0</v>
      </c>
      <c r="DG25" s="399">
        <v>5.5307398949132676</v>
      </c>
      <c r="DH25" s="399">
        <v>0</v>
      </c>
      <c r="DI25" s="399">
        <v>-75.404069469304829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-11.411947859589404</v>
      </c>
      <c r="DP25" s="399">
        <v>-1.2150590391269596</v>
      </c>
      <c r="DQ25" s="399">
        <v>0</v>
      </c>
      <c r="DR25" s="399">
        <v>0</v>
      </c>
      <c r="DS25" s="399"/>
      <c r="DT25" s="399"/>
      <c r="DU25" s="399"/>
      <c r="DV25" s="399">
        <v>15610.241960075904</v>
      </c>
      <c r="DW25" s="399">
        <v>0</v>
      </c>
      <c r="DX25" s="399">
        <v>0</v>
      </c>
      <c r="DY25" s="399">
        <v>-10416.699509999997</v>
      </c>
      <c r="DZ25" s="399">
        <v>120.40169999999989</v>
      </c>
      <c r="EA25" s="399">
        <v>0</v>
      </c>
      <c r="EB25" s="399">
        <v>0</v>
      </c>
      <c r="EC25" s="399">
        <v>-9523.285396527277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227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2334</v>
      </c>
      <c r="D26" s="399" t="s">
        <v>533</v>
      </c>
      <c r="E26" s="399" t="s">
        <v>890</v>
      </c>
      <c r="F26" s="399" t="s">
        <v>1239</v>
      </c>
      <c r="G26" s="399" t="s">
        <v>1239</v>
      </c>
      <c r="H26" s="399" t="s">
        <v>1239</v>
      </c>
      <c r="I26" s="399" t="s">
        <v>2326</v>
      </c>
      <c r="J26" s="399" t="s">
        <v>2329</v>
      </c>
      <c r="K26" s="789">
        <v>44470</v>
      </c>
      <c r="L26" s="399">
        <v>0</v>
      </c>
      <c r="M26" s="399">
        <v>0</v>
      </c>
      <c r="N26" s="399">
        <v>415.28800000000001</v>
      </c>
      <c r="O26" s="399">
        <v>415.28800000000001</v>
      </c>
      <c r="P26" s="399">
        <v>415.28800000000001</v>
      </c>
      <c r="Q26" s="399">
        <v>415.28800000000001</v>
      </c>
      <c r="R26" s="399"/>
      <c r="S26" s="399">
        <v>72.319999999999993</v>
      </c>
      <c r="T26" s="399">
        <v>205.96</v>
      </c>
      <c r="U26" s="399"/>
      <c r="V26" s="399">
        <v>115566.34464</v>
      </c>
      <c r="W26" s="399">
        <v>115566.34464</v>
      </c>
      <c r="X26" s="399">
        <v>117015.69976</v>
      </c>
      <c r="Y26" s="399">
        <v>0</v>
      </c>
      <c r="Z26" s="399">
        <v>22029.977828823663</v>
      </c>
      <c r="AA26" s="399">
        <v>0</v>
      </c>
      <c r="AB26" s="399">
        <v>0</v>
      </c>
      <c r="AC26" s="399">
        <v>0</v>
      </c>
      <c r="AD26" s="399">
        <v>0</v>
      </c>
      <c r="AE26" s="399">
        <v>0</v>
      </c>
      <c r="AF26" s="399">
        <v>83446.220973264179</v>
      </c>
      <c r="AG26" s="399">
        <v>2088.213832297984</v>
      </c>
      <c r="AH26" s="399">
        <v>0</v>
      </c>
      <c r="AI26" s="399">
        <v>0</v>
      </c>
      <c r="AJ26" s="399">
        <v>0</v>
      </c>
      <c r="AK26" s="399">
        <v>0</v>
      </c>
      <c r="AL26" s="399">
        <v>3913.3297470575662</v>
      </c>
      <c r="AM26" s="399"/>
      <c r="AN26" s="399">
        <v>256.42899385073633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3834.158024060669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87280.378997324849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117016.26329999999</v>
      </c>
      <c r="CJ26" s="399">
        <v>1449.8886599999969</v>
      </c>
      <c r="CK26" s="399"/>
      <c r="CL26" s="399"/>
      <c r="CM26" s="399"/>
      <c r="CN26" s="399"/>
      <c r="CO26" s="399">
        <v>-3160.34168</v>
      </c>
      <c r="CP26" s="399">
        <v>4609.6967999999979</v>
      </c>
      <c r="CQ26" s="399">
        <v>31</v>
      </c>
      <c r="CR26" s="399">
        <v>1449.8944882470387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0</v>
      </c>
      <c r="DA26" s="399">
        <v>0</v>
      </c>
      <c r="DB26" s="399">
        <v>0</v>
      </c>
      <c r="DC26" s="399">
        <v>4608.5005298478645</v>
      </c>
      <c r="DD26" s="399">
        <v>0</v>
      </c>
      <c r="DE26" s="399">
        <v>0</v>
      </c>
      <c r="DF26" s="399">
        <v>0</v>
      </c>
      <c r="DG26" s="399">
        <v>211.74978422409322</v>
      </c>
      <c r="DH26" s="399">
        <v>0</v>
      </c>
      <c r="DI26" s="399">
        <v>-2886.9185214131721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-436.91758114807453</v>
      </c>
      <c r="DP26" s="399">
        <v>-46.519723263663394</v>
      </c>
      <c r="DQ26" s="399">
        <v>0</v>
      </c>
      <c r="DR26" s="399">
        <v>0</v>
      </c>
      <c r="DS26" s="399"/>
      <c r="DT26" s="399"/>
      <c r="DU26" s="399"/>
      <c r="DV26" s="399">
        <v>0</v>
      </c>
      <c r="DW26" s="399">
        <v>0</v>
      </c>
      <c r="DX26" s="399">
        <v>0</v>
      </c>
      <c r="DY26" s="399">
        <v>-3160.3416799999977</v>
      </c>
      <c r="DZ26" s="399">
        <v>4609.6968000000052</v>
      </c>
      <c r="EA26" s="399">
        <v>0</v>
      </c>
      <c r="EB26" s="399">
        <v>0</v>
      </c>
      <c r="EC26" s="399">
        <v>0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227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956</v>
      </c>
      <c r="C27" s="399" t="s">
        <v>2334</v>
      </c>
      <c r="D27" s="399" t="s">
        <v>533</v>
      </c>
      <c r="E27" s="399" t="s">
        <v>890</v>
      </c>
      <c r="F27" s="399" t="s">
        <v>1239</v>
      </c>
      <c r="G27" s="399" t="s">
        <v>1239</v>
      </c>
      <c r="H27" s="399" t="s">
        <v>1239</v>
      </c>
      <c r="I27" s="399" t="s">
        <v>1239</v>
      </c>
      <c r="J27" s="399" t="s">
        <v>2329</v>
      </c>
      <c r="K27" s="789">
        <v>44470</v>
      </c>
      <c r="L27" s="399">
        <v>2266</v>
      </c>
      <c r="M27" s="399">
        <v>2266</v>
      </c>
      <c r="N27" s="399">
        <v>0</v>
      </c>
      <c r="O27" s="399">
        <v>0</v>
      </c>
      <c r="P27" s="399">
        <v>0</v>
      </c>
      <c r="Q27" s="399">
        <v>0</v>
      </c>
      <c r="R27" s="399">
        <v>26.79</v>
      </c>
      <c r="S27" s="399"/>
      <c r="T27" s="399"/>
      <c r="U27" s="399">
        <v>60706.14</v>
      </c>
      <c r="V27" s="399"/>
      <c r="W27" s="399">
        <v>60706.14</v>
      </c>
      <c r="X27" s="399">
        <v>34737.78</v>
      </c>
      <c r="Y27" s="399">
        <v>0</v>
      </c>
      <c r="Z27" s="399">
        <v>0</v>
      </c>
      <c r="AA27" s="399">
        <v>0</v>
      </c>
      <c r="AB27" s="399">
        <v>0</v>
      </c>
      <c r="AC27" s="399">
        <v>0</v>
      </c>
      <c r="AD27" s="399">
        <v>22824.47314967358</v>
      </c>
      <c r="AE27" s="399">
        <v>37889.418490848206</v>
      </c>
      <c r="AF27" s="399"/>
      <c r="AG27" s="399"/>
      <c r="AH27" s="399"/>
      <c r="AI27" s="399">
        <v>0</v>
      </c>
      <c r="AJ27" s="399">
        <v>0</v>
      </c>
      <c r="AK27" s="399">
        <v>0</v>
      </c>
      <c r="AL27" s="399">
        <v>0</v>
      </c>
      <c r="AM27" s="399"/>
      <c r="AN27" s="399">
        <v>0</v>
      </c>
      <c r="AO27" s="399">
        <v>0</v>
      </c>
      <c r="AP27" s="399">
        <v>0</v>
      </c>
      <c r="AQ27" s="399">
        <v>0</v>
      </c>
      <c r="AR27" s="399">
        <v>0</v>
      </c>
      <c r="AS27" s="399"/>
      <c r="AT27" s="399"/>
      <c r="AU27" s="399">
        <v>0</v>
      </c>
      <c r="AV27" s="399">
        <v>0</v>
      </c>
      <c r="AW27" s="399">
        <v>0</v>
      </c>
      <c r="AX27" s="399"/>
      <c r="AY27" s="399"/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/>
      <c r="BG27" s="399">
        <v>0</v>
      </c>
      <c r="BH27" s="399">
        <v>0</v>
      </c>
      <c r="BI27" s="399">
        <v>954.74</v>
      </c>
      <c r="BJ27" s="399">
        <v>4361.97</v>
      </c>
      <c r="BK27" s="399">
        <v>77630.960000000006</v>
      </c>
      <c r="BL27" s="399">
        <v>12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0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34737.78</v>
      </c>
      <c r="CJ27" s="399">
        <v>-25968.390000000007</v>
      </c>
      <c r="CK27" s="399"/>
      <c r="CL27" s="399"/>
      <c r="CM27" s="399"/>
      <c r="CN27" s="399"/>
      <c r="CO27" s="399">
        <v>-25968.359999999997</v>
      </c>
      <c r="CP27" s="399">
        <v>0</v>
      </c>
      <c r="CQ27" s="399">
        <v>31</v>
      </c>
      <c r="CR27" s="399">
        <v>-2851.5030165613753</v>
      </c>
      <c r="CS27" s="399">
        <v>0</v>
      </c>
      <c r="CT27" s="399">
        <v>0</v>
      </c>
      <c r="CU27" s="399">
        <v>0</v>
      </c>
      <c r="CV27" s="399">
        <v>0</v>
      </c>
      <c r="CW27" s="399"/>
      <c r="CX27" s="399"/>
      <c r="CY27" s="399"/>
      <c r="CZ27" s="399">
        <v>-2851.5030165613753</v>
      </c>
      <c r="DA27" s="399">
        <v>0</v>
      </c>
      <c r="DB27" s="399">
        <v>0</v>
      </c>
      <c r="DC27" s="399"/>
      <c r="DD27" s="399"/>
      <c r="DE27" s="399">
        <v>0</v>
      </c>
      <c r="DF27" s="399">
        <v>0</v>
      </c>
      <c r="DG27" s="399">
        <v>0</v>
      </c>
      <c r="DH27" s="399">
        <v>0</v>
      </c>
      <c r="DI27" s="399">
        <v>0</v>
      </c>
      <c r="DJ27" s="399"/>
      <c r="DK27" s="399">
        <v>0</v>
      </c>
      <c r="DL27" s="399">
        <v>0</v>
      </c>
      <c r="DM27" s="399"/>
      <c r="DN27" s="399">
        <v>0</v>
      </c>
      <c r="DO27" s="399">
        <v>0</v>
      </c>
      <c r="DP27" s="399">
        <v>0</v>
      </c>
      <c r="DQ27" s="399">
        <v>0</v>
      </c>
      <c r="DR27" s="399">
        <v>0</v>
      </c>
      <c r="DS27" s="399"/>
      <c r="DT27" s="399"/>
      <c r="DU27" s="399">
        <v>37889.418490848206</v>
      </c>
      <c r="DV27" s="399"/>
      <c r="DW27" s="399">
        <v>0</v>
      </c>
      <c r="DX27" s="399">
        <v>0</v>
      </c>
      <c r="DY27" s="399">
        <v>-25968.36</v>
      </c>
      <c r="DZ27" s="399"/>
      <c r="EA27" s="399">
        <v>0</v>
      </c>
      <c r="EB27" s="399"/>
      <c r="EC27" s="399">
        <v>-23115.064245618632</v>
      </c>
      <c r="ED27" s="399"/>
      <c r="EE27" s="399">
        <v>0</v>
      </c>
      <c r="EF27" s="399">
        <v>0</v>
      </c>
      <c r="EG27" s="399"/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/>
      <c r="EN27" s="399"/>
      <c r="EO27" s="399">
        <v>0</v>
      </c>
      <c r="EP27" s="399">
        <v>0</v>
      </c>
      <c r="EQ27" s="399"/>
      <c r="ER27" s="399">
        <v>0</v>
      </c>
      <c r="ES27" s="399"/>
      <c r="ET27" s="399">
        <v>0</v>
      </c>
      <c r="EU27" s="399"/>
      <c r="EV27" s="399">
        <v>227</v>
      </c>
      <c r="EW27" s="399"/>
      <c r="EX27" s="399"/>
      <c r="EY27" s="399"/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2328</v>
      </c>
      <c r="D28" s="399" t="s">
        <v>1826</v>
      </c>
      <c r="E28" s="399" t="s">
        <v>918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2329</v>
      </c>
      <c r="K28" s="789">
        <v>44470</v>
      </c>
      <c r="L28" s="399">
        <v>0</v>
      </c>
      <c r="M28" s="399">
        <v>0</v>
      </c>
      <c r="N28" s="399">
        <v>13.641</v>
      </c>
      <c r="O28" s="399">
        <v>13.641</v>
      </c>
      <c r="P28" s="399">
        <v>13.641</v>
      </c>
      <c r="Q28" s="399">
        <v>13.641</v>
      </c>
      <c r="R28" s="399"/>
      <c r="S28" s="399">
        <v>425.49</v>
      </c>
      <c r="T28" s="399">
        <v>205.96</v>
      </c>
      <c r="U28" s="399"/>
      <c r="V28" s="399">
        <v>8613.6094499999999</v>
      </c>
      <c r="W28" s="399">
        <v>8613.6094499999999</v>
      </c>
      <c r="X28" s="399">
        <v>6446.46378</v>
      </c>
      <c r="Y28" s="399">
        <v>0</v>
      </c>
      <c r="Z28" s="399">
        <v>831.74774919525066</v>
      </c>
      <c r="AA28" s="399">
        <v>0</v>
      </c>
      <c r="AB28" s="399">
        <v>0</v>
      </c>
      <c r="AC28" s="399">
        <v>0</v>
      </c>
      <c r="AD28" s="399">
        <v>1105.7705038174811</v>
      </c>
      <c r="AE28" s="399">
        <v>3397.1329530865196</v>
      </c>
      <c r="AF28" s="399">
        <v>2740.9650659212321</v>
      </c>
      <c r="AG28" s="399">
        <v>68.591736063591526</v>
      </c>
      <c r="AH28" s="399">
        <v>0</v>
      </c>
      <c r="AI28" s="399">
        <v>0</v>
      </c>
      <c r="AJ28" s="399">
        <v>0</v>
      </c>
      <c r="AK28" s="399">
        <v>0</v>
      </c>
      <c r="AL28" s="399">
        <v>128.54147261566013</v>
      </c>
      <c r="AM28" s="399"/>
      <c r="AN28" s="399">
        <v>14.758923065397617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326.18994859704935</v>
      </c>
      <c r="BH28" s="399">
        <v>0</v>
      </c>
      <c r="BI28" s="399">
        <v>53.72</v>
      </c>
      <c r="BJ28" s="399">
        <v>248.35</v>
      </c>
      <c r="BK28" s="399">
        <v>2916.34</v>
      </c>
      <c r="BL28" s="399">
        <v>55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3067.1550145182814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6445.9912000000004</v>
      </c>
      <c r="CJ28" s="399">
        <v>-2167.6482500000002</v>
      </c>
      <c r="CK28" s="399"/>
      <c r="CL28" s="399"/>
      <c r="CM28" s="399"/>
      <c r="CN28" s="399"/>
      <c r="CO28" s="399">
        <v>-2318.56077</v>
      </c>
      <c r="CP28" s="399">
        <v>151.41509999999991</v>
      </c>
      <c r="CQ28" s="399">
        <v>31</v>
      </c>
      <c r="CR28" s="399">
        <v>-94.780888246636096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-138.14592374523932</v>
      </c>
      <c r="DA28" s="399">
        <v>0</v>
      </c>
      <c r="DB28" s="399">
        <v>0</v>
      </c>
      <c r="DC28" s="399">
        <v>151.37580601330819</v>
      </c>
      <c r="DD28" s="399">
        <v>0</v>
      </c>
      <c r="DE28" s="399">
        <v>0</v>
      </c>
      <c r="DF28" s="399">
        <v>0</v>
      </c>
      <c r="DG28" s="399">
        <v>18.014555163885916</v>
      </c>
      <c r="DH28" s="399">
        <v>0</v>
      </c>
      <c r="DI28" s="399">
        <v>-108.99638669421722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-14.351468678220627</v>
      </c>
      <c r="DP28" s="399">
        <v>-2.6774703061528342</v>
      </c>
      <c r="DQ28" s="399">
        <v>0</v>
      </c>
      <c r="DR28" s="399">
        <v>0</v>
      </c>
      <c r="DS28" s="399"/>
      <c r="DT28" s="399"/>
      <c r="DU28" s="399"/>
      <c r="DV28" s="399">
        <v>3397.1329530865196</v>
      </c>
      <c r="DW28" s="399">
        <v>0</v>
      </c>
      <c r="DX28" s="399">
        <v>0</v>
      </c>
      <c r="DY28" s="399">
        <v>-2318.5607699999996</v>
      </c>
      <c r="DZ28" s="399">
        <v>151.41510000000017</v>
      </c>
      <c r="EA28" s="399">
        <v>0</v>
      </c>
      <c r="EB28" s="399">
        <v>0</v>
      </c>
      <c r="EC28" s="399">
        <v>-2072.4769497444213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227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2328</v>
      </c>
      <c r="D29" s="399" t="s">
        <v>2335</v>
      </c>
      <c r="E29" s="399" t="s">
        <v>894</v>
      </c>
      <c r="F29" s="399" t="s">
        <v>1239</v>
      </c>
      <c r="G29" s="399" t="s">
        <v>1239</v>
      </c>
      <c r="H29" s="399" t="s">
        <v>1239</v>
      </c>
      <c r="I29" s="399" t="s">
        <v>1239</v>
      </c>
      <c r="J29" s="399" t="s">
        <v>2329</v>
      </c>
      <c r="K29" s="789">
        <v>44470</v>
      </c>
      <c r="L29" s="399">
        <v>0</v>
      </c>
      <c r="M29" s="399">
        <v>0</v>
      </c>
      <c r="N29" s="399">
        <v>68.188000000000002</v>
      </c>
      <c r="O29" s="399">
        <v>68.188000000000002</v>
      </c>
      <c r="P29" s="399">
        <v>68.188000000000002</v>
      </c>
      <c r="Q29" s="399">
        <v>68.188000000000002</v>
      </c>
      <c r="R29" s="399"/>
      <c r="S29" s="399">
        <v>425.49</v>
      </c>
      <c r="T29" s="399">
        <v>205.96</v>
      </c>
      <c r="U29" s="399"/>
      <c r="V29" s="399">
        <v>43057.312600000005</v>
      </c>
      <c r="W29" s="399">
        <v>43057.312600000005</v>
      </c>
      <c r="X29" s="399">
        <v>32224.285040000002</v>
      </c>
      <c r="Y29" s="399">
        <v>0</v>
      </c>
      <c r="Z29" s="399">
        <v>4157.7021862125757</v>
      </c>
      <c r="AA29" s="399">
        <v>0</v>
      </c>
      <c r="AB29" s="399">
        <v>0</v>
      </c>
      <c r="AC29" s="399">
        <v>0</v>
      </c>
      <c r="AD29" s="399">
        <v>5527.4744603992667</v>
      </c>
      <c r="AE29" s="399">
        <v>16981.431112459759</v>
      </c>
      <c r="AF29" s="399">
        <v>13701.409421232827</v>
      </c>
      <c r="AG29" s="399">
        <v>342.8731983508672</v>
      </c>
      <c r="AH29" s="399">
        <v>0</v>
      </c>
      <c r="AI29" s="399">
        <v>0</v>
      </c>
      <c r="AJ29" s="399">
        <v>0</v>
      </c>
      <c r="AK29" s="399">
        <v>0</v>
      </c>
      <c r="AL29" s="399">
        <v>642.54716917503356</v>
      </c>
      <c r="AM29" s="399"/>
      <c r="AN29" s="399">
        <v>73.776222123255835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1630.5432310633826</v>
      </c>
      <c r="BH29" s="399">
        <v>0</v>
      </c>
      <c r="BI29" s="399">
        <v>137.9</v>
      </c>
      <c r="BJ29" s="399">
        <v>636.41</v>
      </c>
      <c r="BK29" s="399">
        <v>6106.9</v>
      </c>
      <c r="BL29" s="399">
        <v>248</v>
      </c>
      <c r="BM29" s="399"/>
      <c r="BN29" s="399"/>
      <c r="BO29" s="399"/>
      <c r="BP29" s="399"/>
      <c r="BQ29" s="399"/>
      <c r="BR29" s="399">
        <v>3867.6233600000019</v>
      </c>
      <c r="BS29" s="399"/>
      <c r="BT29" s="399"/>
      <c r="BU29" s="399"/>
      <c r="BV29" s="399">
        <v>15331.95265229621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28357.493399999999</v>
      </c>
      <c r="CJ29" s="399">
        <v>-9533.2444400000022</v>
      </c>
      <c r="CK29" s="399"/>
      <c r="CL29" s="399"/>
      <c r="CM29" s="399"/>
      <c r="CN29" s="399"/>
      <c r="CO29" s="399">
        <v>-11589.914360000001</v>
      </c>
      <c r="CP29" s="399">
        <v>756.88679999999965</v>
      </c>
      <c r="CQ29" s="399">
        <v>31</v>
      </c>
      <c r="CR29" s="399">
        <v>-473.78632121996634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-690.55745534347716</v>
      </c>
      <c r="DA29" s="399">
        <v>0</v>
      </c>
      <c r="DB29" s="399">
        <v>0</v>
      </c>
      <c r="DC29" s="399">
        <v>756.69037903639219</v>
      </c>
      <c r="DD29" s="399">
        <v>0</v>
      </c>
      <c r="DE29" s="399">
        <v>0</v>
      </c>
      <c r="DF29" s="399">
        <v>0</v>
      </c>
      <c r="DG29" s="399">
        <v>90.050325307166304</v>
      </c>
      <c r="DH29" s="399">
        <v>0</v>
      </c>
      <c r="DI29" s="399">
        <v>-544.84609749323909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-71.739457974525862</v>
      </c>
      <c r="DP29" s="399">
        <v>-13.384014752287193</v>
      </c>
      <c r="DQ29" s="399">
        <v>0</v>
      </c>
      <c r="DR29" s="399">
        <v>0</v>
      </c>
      <c r="DS29" s="399"/>
      <c r="DT29" s="399"/>
      <c r="DU29" s="399"/>
      <c r="DV29" s="399">
        <v>16981.431112459759</v>
      </c>
      <c r="DW29" s="399">
        <v>0</v>
      </c>
      <c r="DX29" s="399">
        <v>0</v>
      </c>
      <c r="DY29" s="399">
        <v>-11589.914360000002</v>
      </c>
      <c r="DZ29" s="399">
        <v>756.88680000000022</v>
      </c>
      <c r="EA29" s="399">
        <v>0</v>
      </c>
      <c r="EB29" s="399">
        <v>0</v>
      </c>
      <c r="EC29" s="399">
        <v>-10359.801938946748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227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2328</v>
      </c>
      <c r="D30" s="399" t="s">
        <v>1826</v>
      </c>
      <c r="E30" s="399" t="s">
        <v>2336</v>
      </c>
      <c r="F30" s="399" t="s">
        <v>1239</v>
      </c>
      <c r="G30" s="399" t="s">
        <v>1239</v>
      </c>
      <c r="H30" s="399" t="s">
        <v>1239</v>
      </c>
      <c r="I30" s="399" t="s">
        <v>1239</v>
      </c>
      <c r="J30" s="399" t="s">
        <v>2329</v>
      </c>
      <c r="K30" s="789">
        <v>44470</v>
      </c>
      <c r="L30" s="399">
        <v>0</v>
      </c>
      <c r="M30" s="399">
        <v>0</v>
      </c>
      <c r="N30" s="399">
        <v>5.0549999999999997</v>
      </c>
      <c r="O30" s="399">
        <v>5.0549999999999997</v>
      </c>
      <c r="P30" s="399">
        <v>5.0549999999999997</v>
      </c>
      <c r="Q30" s="399">
        <v>5.0549999999999997</v>
      </c>
      <c r="R30" s="399"/>
      <c r="S30" s="399">
        <v>425.49</v>
      </c>
      <c r="T30" s="399">
        <v>205.96</v>
      </c>
      <c r="U30" s="399"/>
      <c r="V30" s="399">
        <v>3191.9797499999995</v>
      </c>
      <c r="W30" s="399">
        <v>3191.9797499999995</v>
      </c>
      <c r="X30" s="399">
        <v>2388.8918999999996</v>
      </c>
      <c r="Y30" s="399">
        <v>0</v>
      </c>
      <c r="Z30" s="399">
        <v>308.22409443457161</v>
      </c>
      <c r="AA30" s="399">
        <v>0</v>
      </c>
      <c r="AB30" s="399">
        <v>0</v>
      </c>
      <c r="AC30" s="399">
        <v>0</v>
      </c>
      <c r="AD30" s="399">
        <v>409.76980403176935</v>
      </c>
      <c r="AE30" s="399">
        <v>1258.8891633936189</v>
      </c>
      <c r="AF30" s="399">
        <v>1015.7304016004566</v>
      </c>
      <c r="AG30" s="399">
        <v>25.418314331900532</v>
      </c>
      <c r="AH30" s="399">
        <v>0</v>
      </c>
      <c r="AI30" s="399">
        <v>0</v>
      </c>
      <c r="AJ30" s="399">
        <v>0</v>
      </c>
      <c r="AK30" s="399">
        <v>0</v>
      </c>
      <c r="AL30" s="399">
        <v>47.634128295004899</v>
      </c>
      <c r="AM30" s="399"/>
      <c r="AN30" s="399">
        <v>5.4692732274455649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120.87751558962572</v>
      </c>
      <c r="BH30" s="399">
        <v>0</v>
      </c>
      <c r="BI30" s="399">
        <v>28.63</v>
      </c>
      <c r="BJ30" s="399">
        <v>132.41</v>
      </c>
      <c r="BK30" s="399">
        <v>1103.49</v>
      </c>
      <c r="BL30" s="399">
        <v>13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1136.6079171900824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2391.2547999999997</v>
      </c>
      <c r="CJ30" s="399">
        <v>-800.75495000000046</v>
      </c>
      <c r="CK30" s="399"/>
      <c r="CL30" s="399"/>
      <c r="CM30" s="399"/>
      <c r="CN30" s="399"/>
      <c r="CO30" s="399">
        <v>-859.19834999999989</v>
      </c>
      <c r="CP30" s="399">
        <v>56.110499999999966</v>
      </c>
      <c r="CQ30" s="399">
        <v>31</v>
      </c>
      <c r="CR30" s="399">
        <v>-35.123333339692408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-51.193288214367271</v>
      </c>
      <c r="DA30" s="399">
        <v>0</v>
      </c>
      <c r="DB30" s="399">
        <v>0</v>
      </c>
      <c r="DC30" s="399">
        <v>56.095938669985344</v>
      </c>
      <c r="DD30" s="399">
        <v>0</v>
      </c>
      <c r="DE30" s="399">
        <v>0</v>
      </c>
      <c r="DF30" s="399">
        <v>0</v>
      </c>
      <c r="DG30" s="399">
        <v>6.6757258524626764</v>
      </c>
      <c r="DH30" s="399">
        <v>0</v>
      </c>
      <c r="DI30" s="399">
        <v>-40.391227530186029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-5.318281223400426</v>
      </c>
      <c r="DP30" s="399">
        <v>-0.99220089418683255</v>
      </c>
      <c r="DQ30" s="399">
        <v>0</v>
      </c>
      <c r="DR30" s="399">
        <v>0</v>
      </c>
      <c r="DS30" s="399"/>
      <c r="DT30" s="399"/>
      <c r="DU30" s="399"/>
      <c r="DV30" s="399">
        <v>1258.8891633936189</v>
      </c>
      <c r="DW30" s="399">
        <v>0</v>
      </c>
      <c r="DX30" s="399">
        <v>0</v>
      </c>
      <c r="DY30" s="399">
        <v>-859.19834999999989</v>
      </c>
      <c r="DZ30" s="399">
        <v>56.110500000000002</v>
      </c>
      <c r="EA30" s="399">
        <v>0</v>
      </c>
      <c r="EB30" s="399">
        <v>0</v>
      </c>
      <c r="EC30" s="399">
        <v>-768.00608320196829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227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2328</v>
      </c>
      <c r="D31" s="399" t="s">
        <v>2337</v>
      </c>
      <c r="E31" s="399" t="s">
        <v>2338</v>
      </c>
      <c r="F31" s="399" t="s">
        <v>2339</v>
      </c>
      <c r="G31" s="399" t="s">
        <v>1239</v>
      </c>
      <c r="H31" s="399" t="s">
        <v>1239</v>
      </c>
      <c r="I31" s="399" t="s">
        <v>1239</v>
      </c>
      <c r="J31" s="399" t="s">
        <v>2329</v>
      </c>
      <c r="K31" s="789">
        <v>44470</v>
      </c>
      <c r="L31" s="399">
        <v>0</v>
      </c>
      <c r="M31" s="399">
        <v>0</v>
      </c>
      <c r="N31" s="399">
        <v>19.234999999999999</v>
      </c>
      <c r="O31" s="399">
        <v>19.234999999999999</v>
      </c>
      <c r="P31" s="399">
        <v>19.234999999999999</v>
      </c>
      <c r="Q31" s="399">
        <v>19.234999999999999</v>
      </c>
      <c r="R31" s="399"/>
      <c r="S31" s="399">
        <v>234.02</v>
      </c>
      <c r="T31" s="399">
        <v>113.28</v>
      </c>
      <c r="U31" s="399"/>
      <c r="V31" s="399">
        <v>6680.3155000000006</v>
      </c>
      <c r="W31" s="399">
        <v>6680.3155000000006</v>
      </c>
      <c r="X31" s="399">
        <v>4999.3688499999998</v>
      </c>
      <c r="Y31" s="399">
        <v>0</v>
      </c>
      <c r="Z31" s="399">
        <v>645.06028705181791</v>
      </c>
      <c r="AA31" s="399">
        <v>0</v>
      </c>
      <c r="AB31" s="399">
        <v>0</v>
      </c>
      <c r="AC31" s="399">
        <v>0</v>
      </c>
      <c r="AD31" s="399">
        <v>857.57808096995029</v>
      </c>
      <c r="AE31" s="399">
        <v>2634.639600758042</v>
      </c>
      <c r="AF31" s="399">
        <v>2125.7499210942819</v>
      </c>
      <c r="AG31" s="399">
        <v>53.196182373048153</v>
      </c>
      <c r="AH31" s="399">
        <v>0</v>
      </c>
      <c r="AI31" s="399">
        <v>0</v>
      </c>
      <c r="AJ31" s="399">
        <v>0</v>
      </c>
      <c r="AK31" s="399">
        <v>0</v>
      </c>
      <c r="AL31" s="399">
        <v>99.690079478720207</v>
      </c>
      <c r="AM31" s="399"/>
      <c r="AN31" s="399">
        <v>11.446252975559561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252.97595584600447</v>
      </c>
      <c r="BH31" s="399">
        <v>0</v>
      </c>
      <c r="BI31" s="399">
        <v>77.86</v>
      </c>
      <c r="BJ31" s="399">
        <v>359.42</v>
      </c>
      <c r="BK31" s="399">
        <v>2995.08</v>
      </c>
      <c r="BL31" s="399">
        <v>2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2378.7258769402865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5000.6683999999996</v>
      </c>
      <c r="CJ31" s="399">
        <v>-1679.6771000000017</v>
      </c>
      <c r="CK31" s="399"/>
      <c r="CL31" s="399"/>
      <c r="CM31" s="399"/>
      <c r="CN31" s="399"/>
      <c r="CO31" s="399">
        <v>-1798.28015</v>
      </c>
      <c r="CP31" s="399">
        <v>117.33349999999989</v>
      </c>
      <c r="CQ31" s="399">
        <v>31</v>
      </c>
      <c r="CR31" s="399">
        <v>-73.50712645575868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-107.13879215466818</v>
      </c>
      <c r="DA31" s="399">
        <v>0</v>
      </c>
      <c r="DB31" s="399">
        <v>0</v>
      </c>
      <c r="DC31" s="399">
        <v>117.39920062799774</v>
      </c>
      <c r="DD31" s="399">
        <v>0</v>
      </c>
      <c r="DE31" s="399">
        <v>0</v>
      </c>
      <c r="DF31" s="399">
        <v>0</v>
      </c>
      <c r="DG31" s="399">
        <v>13.971151874315069</v>
      </c>
      <c r="DH31" s="399">
        <v>0</v>
      </c>
      <c r="DI31" s="399">
        <v>-84.531927566511627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-11.130252548498405</v>
      </c>
      <c r="DP31" s="399">
        <v>-2.0765066883928966</v>
      </c>
      <c r="DQ31" s="399">
        <v>0</v>
      </c>
      <c r="DR31" s="399">
        <v>0</v>
      </c>
      <c r="DS31" s="399"/>
      <c r="DT31" s="399"/>
      <c r="DU31" s="399"/>
      <c r="DV31" s="399">
        <v>2634.639600758042</v>
      </c>
      <c r="DW31" s="399">
        <v>0</v>
      </c>
      <c r="DX31" s="399">
        <v>0</v>
      </c>
      <c r="DY31" s="399">
        <v>-1798.2801500000005</v>
      </c>
      <c r="DZ31" s="399">
        <v>117.33350000000019</v>
      </c>
      <c r="EA31" s="399">
        <v>0</v>
      </c>
      <c r="EB31" s="399">
        <v>0</v>
      </c>
      <c r="EC31" s="399">
        <v>-1607.3053127031417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227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2328</v>
      </c>
      <c r="D32" s="399" t="s">
        <v>2335</v>
      </c>
      <c r="E32" s="399" t="s">
        <v>894</v>
      </c>
      <c r="F32" s="399" t="s">
        <v>2342</v>
      </c>
      <c r="G32" s="399" t="s">
        <v>2340</v>
      </c>
      <c r="H32" s="399" t="s">
        <v>1239</v>
      </c>
      <c r="I32" s="399" t="s">
        <v>1239</v>
      </c>
      <c r="J32" s="399" t="s">
        <v>2329</v>
      </c>
      <c r="K32" s="789">
        <v>44470</v>
      </c>
      <c r="L32" s="399">
        <v>0</v>
      </c>
      <c r="M32" s="399">
        <v>0</v>
      </c>
      <c r="N32" s="399">
        <v>0</v>
      </c>
      <c r="O32" s="399">
        <v>0</v>
      </c>
      <c r="P32" s="399">
        <v>0</v>
      </c>
      <c r="Q32" s="399">
        <v>0</v>
      </c>
      <c r="R32" s="399"/>
      <c r="S32" s="399"/>
      <c r="T32" s="399"/>
      <c r="U32" s="399"/>
      <c r="V32" s="399"/>
      <c r="W32" s="399"/>
      <c r="X32" s="399"/>
      <c r="Y32" s="399"/>
      <c r="Z32" s="399"/>
      <c r="AA32" s="399">
        <v>0</v>
      </c>
      <c r="AB32" s="399"/>
      <c r="AC32" s="399"/>
      <c r="AD32" s="399"/>
      <c r="AE32" s="399"/>
      <c r="AF32" s="399"/>
      <c r="AG32" s="399"/>
      <c r="AH32" s="399"/>
      <c r="AI32" s="399"/>
      <c r="AJ32" s="399"/>
      <c r="AK32" s="399"/>
      <c r="AL32" s="399"/>
      <c r="AM32" s="399"/>
      <c r="AN32" s="399"/>
      <c r="AO32" s="399"/>
      <c r="AP32" s="399"/>
      <c r="AQ32" s="399"/>
      <c r="AR32" s="399"/>
      <c r="AS32" s="399"/>
      <c r="AT32" s="399"/>
      <c r="AU32" s="399"/>
      <c r="AV32" s="399"/>
      <c r="AW32" s="399"/>
      <c r="AX32" s="399"/>
      <c r="AY32" s="399"/>
      <c r="AZ32" s="399">
        <v>0</v>
      </c>
      <c r="BA32" s="399"/>
      <c r="BB32" s="399"/>
      <c r="BC32" s="399"/>
      <c r="BD32" s="399"/>
      <c r="BE32" s="399"/>
      <c r="BF32" s="399"/>
      <c r="BG32" s="399"/>
      <c r="BH32" s="399"/>
      <c r="BI32" s="399">
        <v>1.39</v>
      </c>
      <c r="BJ32" s="399">
        <v>6.38</v>
      </c>
      <c r="BK32" s="399">
        <v>77.95</v>
      </c>
      <c r="BL32" s="399">
        <v>1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/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/>
      <c r="CJ32" s="399">
        <v>-0.03</v>
      </c>
      <c r="CK32" s="399"/>
      <c r="CL32" s="399"/>
      <c r="CM32" s="399"/>
      <c r="CN32" s="399"/>
      <c r="CO32" s="399">
        <v>0</v>
      </c>
      <c r="CP32" s="399">
        <v>0</v>
      </c>
      <c r="CQ32" s="399">
        <v>31</v>
      </c>
      <c r="CR32" s="399"/>
      <c r="CS32" s="399"/>
      <c r="CT32" s="399"/>
      <c r="CU32" s="399"/>
      <c r="CV32" s="399"/>
      <c r="CW32" s="399"/>
      <c r="CX32" s="399"/>
      <c r="CY32" s="399"/>
      <c r="CZ32" s="399"/>
      <c r="DA32" s="399"/>
      <c r="DB32" s="399"/>
      <c r="DC32" s="399"/>
      <c r="DD32" s="399"/>
      <c r="DE32" s="399"/>
      <c r="DF32" s="399"/>
      <c r="DG32" s="399"/>
      <c r="DH32" s="399"/>
      <c r="DI32" s="399"/>
      <c r="DJ32" s="399"/>
      <c r="DK32" s="399">
        <v>0</v>
      </c>
      <c r="DL32" s="399"/>
      <c r="DM32" s="399"/>
      <c r="DN32" s="399"/>
      <c r="DO32" s="399"/>
      <c r="DP32" s="399"/>
      <c r="DQ32" s="399"/>
      <c r="DR32" s="399"/>
      <c r="DS32" s="399"/>
      <c r="DT32" s="399"/>
      <c r="DU32" s="399"/>
      <c r="DV32" s="399"/>
      <c r="DW32" s="399"/>
      <c r="DX32" s="399"/>
      <c r="DY32" s="399"/>
      <c r="DZ32" s="399"/>
      <c r="EA32" s="399"/>
      <c r="EB32" s="399"/>
      <c r="EC32" s="399"/>
      <c r="ED32" s="399"/>
      <c r="EE32" s="399"/>
      <c r="EF32" s="399"/>
      <c r="EG32" s="399"/>
      <c r="EH32" s="399"/>
      <c r="EI32" s="399"/>
      <c r="EJ32" s="399"/>
      <c r="EK32" s="399"/>
      <c r="EL32" s="399"/>
      <c r="EM32" s="399"/>
      <c r="EN32" s="399"/>
      <c r="EO32" s="399"/>
      <c r="EP32" s="399"/>
      <c r="EQ32" s="399"/>
      <c r="ER32" s="399"/>
      <c r="ES32" s="399"/>
      <c r="ET32" s="399"/>
      <c r="EU32" s="399"/>
      <c r="EV32" s="399">
        <v>227</v>
      </c>
      <c r="EW32" s="399"/>
      <c r="EX32" s="399"/>
      <c r="EY32" s="399"/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2328</v>
      </c>
      <c r="D33" s="399" t="s">
        <v>2335</v>
      </c>
      <c r="E33" s="399" t="s">
        <v>894</v>
      </c>
      <c r="F33" s="399" t="s">
        <v>2342</v>
      </c>
      <c r="G33" s="399" t="s">
        <v>2340</v>
      </c>
      <c r="H33" s="399" t="s">
        <v>1239</v>
      </c>
      <c r="I33" s="399" t="s">
        <v>1239</v>
      </c>
      <c r="J33" s="399" t="s">
        <v>2329</v>
      </c>
      <c r="K33" s="789">
        <v>44470</v>
      </c>
      <c r="L33" s="399">
        <v>0</v>
      </c>
      <c r="M33" s="399">
        <v>0</v>
      </c>
      <c r="N33" s="399">
        <v>0.53700000000000003</v>
      </c>
      <c r="O33" s="399">
        <v>0.53700000000000003</v>
      </c>
      <c r="P33" s="399">
        <v>0.53700000000000003</v>
      </c>
      <c r="Q33" s="399">
        <v>0.53700000000000003</v>
      </c>
      <c r="R33" s="399"/>
      <c r="S33" s="399">
        <v>425.49</v>
      </c>
      <c r="T33" s="399">
        <v>205.96</v>
      </c>
      <c r="U33" s="399"/>
      <c r="V33" s="399">
        <v>339.08865000000003</v>
      </c>
      <c r="W33" s="399">
        <v>339.08865000000003</v>
      </c>
      <c r="X33" s="399">
        <v>253.77546000000001</v>
      </c>
      <c r="Y33" s="399">
        <v>0</v>
      </c>
      <c r="Z33" s="399">
        <v>32.743093711447081</v>
      </c>
      <c r="AA33" s="399">
        <v>0</v>
      </c>
      <c r="AB33" s="399">
        <v>0</v>
      </c>
      <c r="AC33" s="399">
        <v>0</v>
      </c>
      <c r="AD33" s="399">
        <v>43.530442090021793</v>
      </c>
      <c r="AE33" s="399">
        <v>133.73362625961886</v>
      </c>
      <c r="AF33" s="399">
        <v>107.90251744004851</v>
      </c>
      <c r="AG33" s="399">
        <v>2.7002244898576833</v>
      </c>
      <c r="AH33" s="399">
        <v>0</v>
      </c>
      <c r="AI33" s="399">
        <v>0</v>
      </c>
      <c r="AJ33" s="399">
        <v>0</v>
      </c>
      <c r="AK33" s="399">
        <v>0</v>
      </c>
      <c r="AL33" s="399">
        <v>5.0602427090836075</v>
      </c>
      <c r="AM33" s="399"/>
      <c r="AN33" s="399">
        <v>0.58100884730727376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12.840994237710982</v>
      </c>
      <c r="BH33" s="399">
        <v>0</v>
      </c>
      <c r="BI33" s="399">
        <v>0</v>
      </c>
      <c r="BJ33" s="399">
        <v>0</v>
      </c>
      <c r="BK33" s="399">
        <v>0</v>
      </c>
      <c r="BL33" s="399">
        <v>0</v>
      </c>
      <c r="BM33" s="399"/>
      <c r="BN33" s="399"/>
      <c r="BO33" s="399"/>
      <c r="BP33" s="399"/>
      <c r="BQ33" s="399"/>
      <c r="BR33" s="399">
        <v>30.458640000000017</v>
      </c>
      <c r="BS33" s="399"/>
      <c r="BT33" s="399"/>
      <c r="BU33" s="399"/>
      <c r="BV33" s="399">
        <v>120.7435116777595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224.56440000000001</v>
      </c>
      <c r="CJ33" s="399">
        <v>-73.865759999999995</v>
      </c>
      <c r="CK33" s="399"/>
      <c r="CL33" s="399"/>
      <c r="CM33" s="399"/>
      <c r="CN33" s="399"/>
      <c r="CO33" s="399">
        <v>-91.273890000000009</v>
      </c>
      <c r="CP33" s="399">
        <v>5.9606999999999974</v>
      </c>
      <c r="CQ33" s="399">
        <v>31</v>
      </c>
      <c r="CR33" s="399">
        <v>-3.7312027702106434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-5.4383374423571169</v>
      </c>
      <c r="DA33" s="399">
        <v>0</v>
      </c>
      <c r="DB33" s="399">
        <v>0</v>
      </c>
      <c r="DC33" s="399">
        <v>5.9591531287402972</v>
      </c>
      <c r="DD33" s="399">
        <v>0</v>
      </c>
      <c r="DE33" s="399">
        <v>0</v>
      </c>
      <c r="DF33" s="399">
        <v>0</v>
      </c>
      <c r="DG33" s="399">
        <v>0.70917206385211884</v>
      </c>
      <c r="DH33" s="399">
        <v>0</v>
      </c>
      <c r="DI33" s="399">
        <v>-4.2908188296162066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-0.56496874717428902</v>
      </c>
      <c r="DP33" s="399">
        <v>-0.10540294365545583</v>
      </c>
      <c r="DQ33" s="399">
        <v>0</v>
      </c>
      <c r="DR33" s="399">
        <v>0</v>
      </c>
      <c r="DS33" s="399"/>
      <c r="DT33" s="399"/>
      <c r="DU33" s="399"/>
      <c r="DV33" s="399">
        <v>133.73362625961886</v>
      </c>
      <c r="DW33" s="399">
        <v>0</v>
      </c>
      <c r="DX33" s="399">
        <v>0</v>
      </c>
      <c r="DY33" s="399">
        <v>-91.273889999999994</v>
      </c>
      <c r="DZ33" s="399">
        <v>5.9606999999999886</v>
      </c>
      <c r="EA33" s="399">
        <v>0</v>
      </c>
      <c r="EB33" s="399">
        <v>0</v>
      </c>
      <c r="EC33" s="399">
        <v>-81.58640290394797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227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2328</v>
      </c>
      <c r="D34" s="399" t="s">
        <v>2335</v>
      </c>
      <c r="E34" s="399" t="s">
        <v>894</v>
      </c>
      <c r="F34" s="399" t="s">
        <v>2342</v>
      </c>
      <c r="G34" s="399" t="s">
        <v>2341</v>
      </c>
      <c r="H34" s="399" t="s">
        <v>1239</v>
      </c>
      <c r="I34" s="399" t="s">
        <v>1239</v>
      </c>
      <c r="J34" s="399" t="s">
        <v>2329</v>
      </c>
      <c r="K34" s="789">
        <v>44470</v>
      </c>
      <c r="L34" s="399">
        <v>0</v>
      </c>
      <c r="M34" s="399">
        <v>0</v>
      </c>
      <c r="N34" s="399">
        <v>0.39500000000000002</v>
      </c>
      <c r="O34" s="399">
        <v>0.158</v>
      </c>
      <c r="P34" s="399">
        <v>0.39500000000000002</v>
      </c>
      <c r="Q34" s="399">
        <v>0.158</v>
      </c>
      <c r="R34" s="399"/>
      <c r="S34" s="399">
        <v>425.49</v>
      </c>
      <c r="T34" s="399">
        <v>205.96</v>
      </c>
      <c r="U34" s="399"/>
      <c r="V34" s="399">
        <v>249.42275000000001</v>
      </c>
      <c r="W34" s="399">
        <v>249.42275000000001</v>
      </c>
      <c r="X34" s="399">
        <v>186.66910000000001</v>
      </c>
      <c r="Y34" s="399">
        <v>0</v>
      </c>
      <c r="Z34" s="399">
        <v>24.084770979556044</v>
      </c>
      <c r="AA34" s="399">
        <v>0</v>
      </c>
      <c r="AB34" s="399">
        <v>0</v>
      </c>
      <c r="AC34" s="399">
        <v>0</v>
      </c>
      <c r="AD34" s="399">
        <v>32.019598930276743</v>
      </c>
      <c r="AE34" s="399">
        <v>98.370172015920772</v>
      </c>
      <c r="AF34" s="399">
        <v>79.369635733369023</v>
      </c>
      <c r="AG34" s="399">
        <v>1.9861986471020201</v>
      </c>
      <c r="AH34" s="399">
        <v>0</v>
      </c>
      <c r="AI34" s="399">
        <v>0</v>
      </c>
      <c r="AJ34" s="399">
        <v>0</v>
      </c>
      <c r="AK34" s="399">
        <v>0</v>
      </c>
      <c r="AL34" s="399">
        <v>3.7221524582644783</v>
      </c>
      <c r="AM34" s="399"/>
      <c r="AN34" s="399">
        <v>0.42737149848486616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9.4454240668451366</v>
      </c>
      <c r="BH34" s="399">
        <v>0</v>
      </c>
      <c r="BI34" s="399">
        <v>0</v>
      </c>
      <c r="BJ34" s="399">
        <v>0</v>
      </c>
      <c r="BK34" s="399">
        <v>0</v>
      </c>
      <c r="BL34" s="399">
        <v>0</v>
      </c>
      <c r="BM34" s="399"/>
      <c r="BN34" s="399"/>
      <c r="BO34" s="399"/>
      <c r="BP34" s="399"/>
      <c r="BQ34" s="399"/>
      <c r="BR34" s="399"/>
      <c r="BS34" s="399">
        <v>120.96322000000001</v>
      </c>
      <c r="BT34" s="399"/>
      <c r="BU34" s="399"/>
      <c r="BV34" s="399">
        <v>88.815059800214158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66.537599999999998</v>
      </c>
      <c r="CJ34" s="399">
        <v>-21.289839999999998</v>
      </c>
      <c r="CK34" s="399"/>
      <c r="CL34" s="399"/>
      <c r="CM34" s="399"/>
      <c r="CN34" s="399"/>
      <c r="CO34" s="399">
        <v>-67.138149999999996</v>
      </c>
      <c r="CP34" s="399">
        <v>4.3844999999999983</v>
      </c>
      <c r="CQ34" s="399">
        <v>31</v>
      </c>
      <c r="CR34" s="399">
        <v>-2.7445532481065129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-4.000266833763618</v>
      </c>
      <c r="DA34" s="399">
        <v>0</v>
      </c>
      <c r="DB34" s="399">
        <v>0</v>
      </c>
      <c r="DC34" s="399">
        <v>4.3833621710473238</v>
      </c>
      <c r="DD34" s="399">
        <v>0</v>
      </c>
      <c r="DE34" s="399">
        <v>0</v>
      </c>
      <c r="DF34" s="399">
        <v>0</v>
      </c>
      <c r="DG34" s="399">
        <v>0.52164425553367977</v>
      </c>
      <c r="DH34" s="399">
        <v>0</v>
      </c>
      <c r="DI34" s="399">
        <v>-3.156188897017504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-0.41557291458816392</v>
      </c>
      <c r="DP34" s="399">
        <v>-7.7531029318258948E-2</v>
      </c>
      <c r="DQ34" s="399">
        <v>0</v>
      </c>
      <c r="DR34" s="399">
        <v>0</v>
      </c>
      <c r="DS34" s="399"/>
      <c r="DT34" s="399"/>
      <c r="DU34" s="399"/>
      <c r="DV34" s="399">
        <v>98.370172015920772</v>
      </c>
      <c r="DW34" s="399">
        <v>0</v>
      </c>
      <c r="DX34" s="399">
        <v>0</v>
      </c>
      <c r="DY34" s="399">
        <v>-67.13815000000001</v>
      </c>
      <c r="DZ34" s="399">
        <v>4.3845000000000027</v>
      </c>
      <c r="EA34" s="399">
        <v>0</v>
      </c>
      <c r="EB34" s="399">
        <v>0</v>
      </c>
      <c r="EC34" s="399">
        <v>-60.012344780371421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227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2328</v>
      </c>
      <c r="D35" s="399" t="s">
        <v>1823</v>
      </c>
      <c r="E35" s="399" t="s">
        <v>889</v>
      </c>
      <c r="F35" s="399" t="s">
        <v>889</v>
      </c>
      <c r="G35" s="399" t="s">
        <v>1239</v>
      </c>
      <c r="H35" s="399" t="s">
        <v>1239</v>
      </c>
      <c r="I35" s="399" t="s">
        <v>1239</v>
      </c>
      <c r="J35" s="399" t="s">
        <v>2329</v>
      </c>
      <c r="K35" s="789">
        <v>44501</v>
      </c>
      <c r="L35" s="399">
        <v>0</v>
      </c>
      <c r="M35" s="399">
        <v>0</v>
      </c>
      <c r="N35" s="399">
        <v>190.24100000000001</v>
      </c>
      <c r="O35" s="399">
        <v>190.24100000000001</v>
      </c>
      <c r="P35" s="399">
        <v>190.24100000000001</v>
      </c>
      <c r="Q35" s="399">
        <v>190.24100000000001</v>
      </c>
      <c r="R35" s="399"/>
      <c r="S35" s="399">
        <v>425.49</v>
      </c>
      <c r="T35" s="399">
        <v>205.96</v>
      </c>
      <c r="U35" s="399"/>
      <c r="V35" s="399">
        <v>120127.67945000003</v>
      </c>
      <c r="W35" s="399">
        <v>120127.67945000003</v>
      </c>
      <c r="X35" s="399">
        <v>89904.091780000017</v>
      </c>
      <c r="Y35" s="399">
        <v>0</v>
      </c>
      <c r="Z35" s="399">
        <v>11599.774470687902</v>
      </c>
      <c r="AA35" s="399">
        <v>0</v>
      </c>
      <c r="AB35" s="399">
        <v>0</v>
      </c>
      <c r="AC35" s="399">
        <v>0</v>
      </c>
      <c r="AD35" s="399">
        <v>15421.368405303234</v>
      </c>
      <c r="AE35" s="399">
        <v>47377.316188558943</v>
      </c>
      <c r="AF35" s="399">
        <v>38226.224991270523</v>
      </c>
      <c r="AG35" s="399">
        <v>956.59852360338084</v>
      </c>
      <c r="AH35" s="399">
        <v>0</v>
      </c>
      <c r="AI35" s="399">
        <v>0</v>
      </c>
      <c r="AJ35" s="399">
        <v>0</v>
      </c>
      <c r="AK35" s="399">
        <v>0</v>
      </c>
      <c r="AL35" s="399">
        <v>1792.6734324371967</v>
      </c>
      <c r="AM35" s="399"/>
      <c r="AN35" s="399">
        <v>205.83185124875803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4549.1314427865454</v>
      </c>
      <c r="BH35" s="399">
        <v>0</v>
      </c>
      <c r="BI35" s="399">
        <v>520.59</v>
      </c>
      <c r="BJ35" s="399">
        <v>2441.7399999999998</v>
      </c>
      <c r="BK35" s="399">
        <v>26153.55</v>
      </c>
      <c r="BL35" s="399">
        <v>935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42775.356434057067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89903.619200000016</v>
      </c>
      <c r="CJ35" s="399">
        <v>-30224.090249999994</v>
      </c>
      <c r="CK35" s="399"/>
      <c r="CL35" s="399"/>
      <c r="CM35" s="399"/>
      <c r="CN35" s="399"/>
      <c r="CO35" s="399">
        <v>-32335.262770000001</v>
      </c>
      <c r="CP35" s="399">
        <v>2111.675099999999</v>
      </c>
      <c r="CQ35" s="399">
        <v>30</v>
      </c>
      <c r="CR35" s="399">
        <v>-1321.8393784127547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-1926.6196524608204</v>
      </c>
      <c r="DA35" s="399">
        <v>0</v>
      </c>
      <c r="DB35" s="399">
        <v>0</v>
      </c>
      <c r="DC35" s="399">
        <v>2111.1270956511726</v>
      </c>
      <c r="DD35" s="399">
        <v>0</v>
      </c>
      <c r="DE35" s="399">
        <v>0</v>
      </c>
      <c r="DF35" s="399">
        <v>0</v>
      </c>
      <c r="DG35" s="399">
        <v>251.23575903033725</v>
      </c>
      <c r="DH35" s="399">
        <v>0</v>
      </c>
      <c r="DI35" s="399">
        <v>-1520.0924859683728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-200.14938441561253</v>
      </c>
      <c r="DP35" s="399">
        <v>-37.340710249455412</v>
      </c>
      <c r="DQ35" s="399">
        <v>0</v>
      </c>
      <c r="DR35" s="399">
        <v>0</v>
      </c>
      <c r="DS35" s="399"/>
      <c r="DT35" s="399"/>
      <c r="DU35" s="399"/>
      <c r="DV35" s="399">
        <v>47377.316188558943</v>
      </c>
      <c r="DW35" s="399">
        <v>0</v>
      </c>
      <c r="DX35" s="399">
        <v>0</v>
      </c>
      <c r="DY35" s="399">
        <v>-32335.262770000008</v>
      </c>
      <c r="DZ35" s="399">
        <v>2111.6751000000004</v>
      </c>
      <c r="EA35" s="399">
        <v>0</v>
      </c>
      <c r="EB35" s="399">
        <v>0</v>
      </c>
      <c r="EC35" s="399">
        <v>-28903.312616107945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227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2328</v>
      </c>
      <c r="D36" s="399" t="s">
        <v>1823</v>
      </c>
      <c r="E36" s="399" t="s">
        <v>889</v>
      </c>
      <c r="F36" s="399" t="s">
        <v>2330</v>
      </c>
      <c r="G36" s="399" t="s">
        <v>1239</v>
      </c>
      <c r="H36" s="399" t="s">
        <v>1239</v>
      </c>
      <c r="I36" s="399" t="s">
        <v>1239</v>
      </c>
      <c r="J36" s="399" t="s">
        <v>2329</v>
      </c>
      <c r="K36" s="789">
        <v>44501</v>
      </c>
      <c r="L36" s="399">
        <v>0</v>
      </c>
      <c r="M36" s="399">
        <v>0</v>
      </c>
      <c r="N36" s="399">
        <v>0.06</v>
      </c>
      <c r="O36" s="399">
        <v>0.06</v>
      </c>
      <c r="P36" s="399">
        <v>0.06</v>
      </c>
      <c r="Q36" s="399">
        <v>0.06</v>
      </c>
      <c r="R36" s="399"/>
      <c r="S36" s="399">
        <v>355.1</v>
      </c>
      <c r="T36" s="399">
        <v>205.96</v>
      </c>
      <c r="U36" s="399"/>
      <c r="V36" s="399">
        <v>33.663600000000002</v>
      </c>
      <c r="W36" s="399">
        <v>33.663600000000002</v>
      </c>
      <c r="X36" s="399">
        <v>24.673200000000001</v>
      </c>
      <c r="Y36" s="399">
        <v>0</v>
      </c>
      <c r="Z36" s="399">
        <v>0</v>
      </c>
      <c r="AA36" s="399">
        <v>0</v>
      </c>
      <c r="AB36" s="399">
        <v>0</v>
      </c>
      <c r="AC36" s="399">
        <v>0</v>
      </c>
      <c r="AD36" s="399">
        <v>4.8637365463711495</v>
      </c>
      <c r="AE36" s="399">
        <v>14.942304610013281</v>
      </c>
      <c r="AF36" s="399">
        <v>12.05614720000542</v>
      </c>
      <c r="AG36" s="399">
        <v>0.30170106031929417</v>
      </c>
      <c r="AH36" s="399">
        <v>0</v>
      </c>
      <c r="AI36" s="399">
        <v>0</v>
      </c>
      <c r="AJ36" s="399">
        <v>0</v>
      </c>
      <c r="AK36" s="399">
        <v>0</v>
      </c>
      <c r="AL36" s="399">
        <v>0</v>
      </c>
      <c r="AM36" s="399"/>
      <c r="AN36" s="399">
        <v>6.4917189643270798E-2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1.4347479595207799</v>
      </c>
      <c r="BH36" s="399">
        <v>0</v>
      </c>
      <c r="BI36" s="399">
        <v>0.04</v>
      </c>
      <c r="BJ36" s="399">
        <v>0.14000000000000001</v>
      </c>
      <c r="BK36" s="399">
        <v>1.2</v>
      </c>
      <c r="BL36" s="399">
        <v>0</v>
      </c>
      <c r="BM36" s="399"/>
      <c r="BN36" s="399"/>
      <c r="BO36" s="399"/>
      <c r="BP36" s="399"/>
      <c r="BQ36" s="399"/>
      <c r="BR36" s="399"/>
      <c r="BS36" s="399"/>
      <c r="BT36" s="399">
        <v>16.037400000000002</v>
      </c>
      <c r="BU36" s="399"/>
      <c r="BV36" s="399">
        <v>13.4908951595262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8.6357999999999997</v>
      </c>
      <c r="CJ36" s="399">
        <v>-3.1763999999999992</v>
      </c>
      <c r="CK36" s="399"/>
      <c r="CL36" s="399"/>
      <c r="CM36" s="399"/>
      <c r="CN36" s="399"/>
      <c r="CO36" s="399">
        <v>-9.6564000000000014</v>
      </c>
      <c r="CP36" s="399">
        <v>0.66599999999999959</v>
      </c>
      <c r="CQ36" s="399">
        <v>30</v>
      </c>
      <c r="CR36" s="399">
        <v>0.12565193369606931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-0.60763546841978933</v>
      </c>
      <c r="DA36" s="399">
        <v>0</v>
      </c>
      <c r="DB36" s="399">
        <v>0</v>
      </c>
      <c r="DC36" s="399">
        <v>0.66582716522237995</v>
      </c>
      <c r="DD36" s="399">
        <v>0</v>
      </c>
      <c r="DE36" s="399">
        <v>0</v>
      </c>
      <c r="DF36" s="399">
        <v>0</v>
      </c>
      <c r="DG36" s="399">
        <v>7.9237102106382018E-2</v>
      </c>
      <c r="DH36" s="399">
        <v>0</v>
      </c>
      <c r="DI36" s="399">
        <v>0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0</v>
      </c>
      <c r="DP36" s="399">
        <v>-1.1776865212900084E-2</v>
      </c>
      <c r="DQ36" s="399">
        <v>0</v>
      </c>
      <c r="DR36" s="399">
        <v>0</v>
      </c>
      <c r="DS36" s="399"/>
      <c r="DT36" s="399"/>
      <c r="DU36" s="399"/>
      <c r="DV36" s="399">
        <v>14.942304610013281</v>
      </c>
      <c r="DW36" s="399">
        <v>0</v>
      </c>
      <c r="DX36" s="399">
        <v>0</v>
      </c>
      <c r="DY36" s="399">
        <v>-9.6564000000000014</v>
      </c>
      <c r="DZ36" s="399">
        <v>0.66600000000000037</v>
      </c>
      <c r="EA36" s="399">
        <v>0</v>
      </c>
      <c r="EB36" s="399">
        <v>0</v>
      </c>
      <c r="EC36" s="399">
        <v>-9.1157992071450256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227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2328</v>
      </c>
      <c r="D37" s="399" t="s">
        <v>1823</v>
      </c>
      <c r="E37" s="399" t="s">
        <v>889</v>
      </c>
      <c r="F37" s="399" t="s">
        <v>2331</v>
      </c>
      <c r="G37" s="399" t="s">
        <v>1239</v>
      </c>
      <c r="H37" s="399" t="s">
        <v>1239</v>
      </c>
      <c r="I37" s="399" t="s">
        <v>1239</v>
      </c>
      <c r="J37" s="399" t="s">
        <v>2329</v>
      </c>
      <c r="K37" s="789">
        <v>44501</v>
      </c>
      <c r="L37" s="399">
        <v>0</v>
      </c>
      <c r="M37" s="399">
        <v>0</v>
      </c>
      <c r="N37" s="399">
        <v>0.14000000000000001</v>
      </c>
      <c r="O37" s="399">
        <v>0.14000000000000001</v>
      </c>
      <c r="P37" s="399">
        <v>0.14000000000000001</v>
      </c>
      <c r="Q37" s="399">
        <v>0.14000000000000001</v>
      </c>
      <c r="R37" s="399"/>
      <c r="S37" s="399">
        <v>355.1</v>
      </c>
      <c r="T37" s="399">
        <v>205.96</v>
      </c>
      <c r="U37" s="399"/>
      <c r="V37" s="399">
        <v>78.548400000000015</v>
      </c>
      <c r="W37" s="399">
        <v>78.548400000000015</v>
      </c>
      <c r="X37" s="399">
        <v>57.570800000000006</v>
      </c>
      <c r="Y37" s="399">
        <v>0</v>
      </c>
      <c r="Z37" s="399">
        <v>0</v>
      </c>
      <c r="AA37" s="399">
        <v>0</v>
      </c>
      <c r="AB37" s="399">
        <v>0</v>
      </c>
      <c r="AC37" s="399">
        <v>0</v>
      </c>
      <c r="AD37" s="399">
        <v>11.348718608199352</v>
      </c>
      <c r="AE37" s="399">
        <v>34.865377423364322</v>
      </c>
      <c r="AF37" s="399">
        <v>28.131010133345981</v>
      </c>
      <c r="AG37" s="399">
        <v>0.70396914074501982</v>
      </c>
      <c r="AH37" s="399">
        <v>0</v>
      </c>
      <c r="AI37" s="399">
        <v>0</v>
      </c>
      <c r="AJ37" s="399">
        <v>0</v>
      </c>
      <c r="AK37" s="399">
        <v>0</v>
      </c>
      <c r="AL37" s="399">
        <v>0</v>
      </c>
      <c r="AM37" s="399"/>
      <c r="AN37" s="399">
        <v>0.15147344250096523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3.3477452388818203</v>
      </c>
      <c r="BH37" s="399">
        <v>0</v>
      </c>
      <c r="BI37" s="399">
        <v>0.12</v>
      </c>
      <c r="BJ37" s="399">
        <v>0.6</v>
      </c>
      <c r="BK37" s="399">
        <v>4.8</v>
      </c>
      <c r="BL37" s="399">
        <v>0</v>
      </c>
      <c r="BM37" s="399"/>
      <c r="BN37" s="399"/>
      <c r="BO37" s="399"/>
      <c r="BP37" s="399"/>
      <c r="BQ37" s="399"/>
      <c r="BR37" s="399"/>
      <c r="BS37" s="399"/>
      <c r="BT37" s="399">
        <v>23.027200000000001</v>
      </c>
      <c r="BU37" s="399"/>
      <c r="BV37" s="399">
        <v>31.478755372227802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34.543600000000005</v>
      </c>
      <c r="CJ37" s="399">
        <v>-12.616</v>
      </c>
      <c r="CK37" s="399"/>
      <c r="CL37" s="399"/>
      <c r="CM37" s="399"/>
      <c r="CN37" s="399"/>
      <c r="CO37" s="399">
        <v>-22.531600000000005</v>
      </c>
      <c r="CP37" s="399">
        <v>1.5539999999999994</v>
      </c>
      <c r="CQ37" s="399">
        <v>30</v>
      </c>
      <c r="CR37" s="399">
        <v>0.29318784529083075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-1.4178160929795105</v>
      </c>
      <c r="DA37" s="399">
        <v>0</v>
      </c>
      <c r="DB37" s="399">
        <v>0</v>
      </c>
      <c r="DC37" s="399">
        <v>1.5535967188522193</v>
      </c>
      <c r="DD37" s="399">
        <v>0</v>
      </c>
      <c r="DE37" s="399">
        <v>0</v>
      </c>
      <c r="DF37" s="399">
        <v>0</v>
      </c>
      <c r="DG37" s="399">
        <v>0.18488657158155819</v>
      </c>
      <c r="DH37" s="399">
        <v>0</v>
      </c>
      <c r="DI37" s="399">
        <v>0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0</v>
      </c>
      <c r="DP37" s="399">
        <v>-2.7479352163433543E-2</v>
      </c>
      <c r="DQ37" s="399">
        <v>0</v>
      </c>
      <c r="DR37" s="399">
        <v>0</v>
      </c>
      <c r="DS37" s="399"/>
      <c r="DT37" s="399"/>
      <c r="DU37" s="399"/>
      <c r="DV37" s="399">
        <v>34.865377423364322</v>
      </c>
      <c r="DW37" s="399">
        <v>0</v>
      </c>
      <c r="DX37" s="399">
        <v>0</v>
      </c>
      <c r="DY37" s="399">
        <v>-22.531600000000005</v>
      </c>
      <c r="DZ37" s="399">
        <v>1.554000000000002</v>
      </c>
      <c r="EA37" s="399">
        <v>0</v>
      </c>
      <c r="EB37" s="399">
        <v>0</v>
      </c>
      <c r="EC37" s="399">
        <v>-21.270198150005058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227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2328</v>
      </c>
      <c r="D38" s="399" t="s">
        <v>1823</v>
      </c>
      <c r="E38" s="399" t="s">
        <v>889</v>
      </c>
      <c r="F38" s="399" t="s">
        <v>2332</v>
      </c>
      <c r="G38" s="399" t="s">
        <v>1239</v>
      </c>
      <c r="H38" s="399" t="s">
        <v>1239</v>
      </c>
      <c r="I38" s="399" t="s">
        <v>1239</v>
      </c>
      <c r="J38" s="399" t="s">
        <v>2329</v>
      </c>
      <c r="K38" s="789">
        <v>44501</v>
      </c>
      <c r="L38" s="399">
        <v>0</v>
      </c>
      <c r="M38" s="399">
        <v>0</v>
      </c>
      <c r="N38" s="399">
        <v>0.189</v>
      </c>
      <c r="O38" s="399">
        <v>0.189</v>
      </c>
      <c r="P38" s="399">
        <v>0.189</v>
      </c>
      <c r="Q38" s="399">
        <v>0.189</v>
      </c>
      <c r="R38" s="399"/>
      <c r="S38" s="399">
        <v>355.1</v>
      </c>
      <c r="T38" s="399">
        <v>205.96</v>
      </c>
      <c r="U38" s="399"/>
      <c r="V38" s="399">
        <v>106.04034</v>
      </c>
      <c r="W38" s="399">
        <v>106.04034</v>
      </c>
      <c r="X38" s="399">
        <v>77.720580000000012</v>
      </c>
      <c r="Y38" s="399">
        <v>0</v>
      </c>
      <c r="Z38" s="399">
        <v>0</v>
      </c>
      <c r="AA38" s="399">
        <v>0</v>
      </c>
      <c r="AB38" s="399">
        <v>0</v>
      </c>
      <c r="AC38" s="399">
        <v>0</v>
      </c>
      <c r="AD38" s="399">
        <v>15.320770121069122</v>
      </c>
      <c r="AE38" s="399">
        <v>47.068259521541833</v>
      </c>
      <c r="AF38" s="399">
        <v>37.976863680017075</v>
      </c>
      <c r="AG38" s="399">
        <v>0.95035834000577668</v>
      </c>
      <c r="AH38" s="399">
        <v>0</v>
      </c>
      <c r="AI38" s="399">
        <v>0</v>
      </c>
      <c r="AJ38" s="399">
        <v>0</v>
      </c>
      <c r="AK38" s="399">
        <v>0</v>
      </c>
      <c r="AL38" s="399">
        <v>0</v>
      </c>
      <c r="AM38" s="399"/>
      <c r="AN38" s="399">
        <v>0.20448914737630303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4.5194560724904571</v>
      </c>
      <c r="BH38" s="399">
        <v>0</v>
      </c>
      <c r="BI38" s="399">
        <v>0.3</v>
      </c>
      <c r="BJ38" s="399">
        <v>1.45</v>
      </c>
      <c r="BK38" s="399">
        <v>17.61</v>
      </c>
      <c r="BL38" s="399">
        <v>1</v>
      </c>
      <c r="BM38" s="399"/>
      <c r="BN38" s="399"/>
      <c r="BO38" s="399"/>
      <c r="BP38" s="399"/>
      <c r="BQ38" s="399"/>
      <c r="BR38" s="399"/>
      <c r="BS38" s="399"/>
      <c r="BT38" s="399">
        <v>7.7697899999999969</v>
      </c>
      <c r="BU38" s="399"/>
      <c r="BV38" s="399">
        <v>42.496319752507532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70.320899999999995</v>
      </c>
      <c r="CJ38" s="399">
        <v>-25.146540000000002</v>
      </c>
      <c r="CK38" s="399"/>
      <c r="CL38" s="399"/>
      <c r="CM38" s="399"/>
      <c r="CN38" s="399"/>
      <c r="CO38" s="399">
        <v>-30.417660000000005</v>
      </c>
      <c r="CP38" s="399">
        <v>2.0978999999999988</v>
      </c>
      <c r="CQ38" s="399">
        <v>30</v>
      </c>
      <c r="CR38" s="399">
        <v>0.39580359114263075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-1.9140517255223379</v>
      </c>
      <c r="DA38" s="399">
        <v>0</v>
      </c>
      <c r="DB38" s="399">
        <v>0</v>
      </c>
      <c r="DC38" s="399">
        <v>2.097355570450496</v>
      </c>
      <c r="DD38" s="399">
        <v>0</v>
      </c>
      <c r="DE38" s="399">
        <v>0</v>
      </c>
      <c r="DF38" s="399">
        <v>0</v>
      </c>
      <c r="DG38" s="399">
        <v>0.24959687163510313</v>
      </c>
      <c r="DH38" s="399">
        <v>0</v>
      </c>
      <c r="DI38" s="399">
        <v>0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0</v>
      </c>
      <c r="DP38" s="399">
        <v>-3.7097125420635257E-2</v>
      </c>
      <c r="DQ38" s="399">
        <v>0</v>
      </c>
      <c r="DR38" s="399">
        <v>0</v>
      </c>
      <c r="DS38" s="399"/>
      <c r="DT38" s="399"/>
      <c r="DU38" s="399"/>
      <c r="DV38" s="399">
        <v>47.068259521541833</v>
      </c>
      <c r="DW38" s="399">
        <v>0</v>
      </c>
      <c r="DX38" s="399">
        <v>0</v>
      </c>
      <c r="DY38" s="399">
        <v>-30.417659999999998</v>
      </c>
      <c r="DZ38" s="399">
        <v>2.0979000000000028</v>
      </c>
      <c r="EA38" s="399">
        <v>0</v>
      </c>
      <c r="EB38" s="399">
        <v>0</v>
      </c>
      <c r="EC38" s="399">
        <v>-28.714767502506827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227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2328</v>
      </c>
      <c r="D39" s="399" t="s">
        <v>1823</v>
      </c>
      <c r="E39" s="399" t="s">
        <v>889</v>
      </c>
      <c r="F39" s="399" t="s">
        <v>2333</v>
      </c>
      <c r="G39" s="399" t="s">
        <v>1239</v>
      </c>
      <c r="H39" s="399" t="s">
        <v>1239</v>
      </c>
      <c r="I39" s="399" t="s">
        <v>1239</v>
      </c>
      <c r="J39" s="399" t="s">
        <v>2329</v>
      </c>
      <c r="K39" s="789">
        <v>44501</v>
      </c>
      <c r="L39" s="399">
        <v>0</v>
      </c>
      <c r="M39" s="399">
        <v>0</v>
      </c>
      <c r="N39" s="399">
        <v>8.5000000000000006E-2</v>
      </c>
      <c r="O39" s="399">
        <v>8.5000000000000006E-2</v>
      </c>
      <c r="P39" s="399">
        <v>8.5000000000000006E-2</v>
      </c>
      <c r="Q39" s="399">
        <v>8.5000000000000006E-2</v>
      </c>
      <c r="R39" s="399"/>
      <c r="S39" s="399">
        <v>355.1</v>
      </c>
      <c r="T39" s="399">
        <v>205.96</v>
      </c>
      <c r="U39" s="399"/>
      <c r="V39" s="399">
        <v>47.690100000000008</v>
      </c>
      <c r="W39" s="399">
        <v>47.690100000000008</v>
      </c>
      <c r="X39" s="399">
        <v>34.953700000000005</v>
      </c>
      <c r="Y39" s="399">
        <v>0</v>
      </c>
      <c r="Z39" s="399">
        <v>0</v>
      </c>
      <c r="AA39" s="399">
        <v>0</v>
      </c>
      <c r="AB39" s="399">
        <v>0</v>
      </c>
      <c r="AC39" s="399">
        <v>0</v>
      </c>
      <c r="AD39" s="399">
        <v>6.8902934406924627</v>
      </c>
      <c r="AE39" s="399">
        <v>21.168264864185481</v>
      </c>
      <c r="AF39" s="399">
        <v>17.079541866674347</v>
      </c>
      <c r="AG39" s="399">
        <v>0.42740983545233346</v>
      </c>
      <c r="AH39" s="399">
        <v>0</v>
      </c>
      <c r="AI39" s="399">
        <v>0</v>
      </c>
      <c r="AJ39" s="399">
        <v>0</v>
      </c>
      <c r="AK39" s="399">
        <v>0</v>
      </c>
      <c r="AL39" s="399">
        <v>0</v>
      </c>
      <c r="AM39" s="399"/>
      <c r="AN39" s="399">
        <v>9.1966018661300317E-2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2.0325596093211051</v>
      </c>
      <c r="BH39" s="399">
        <v>0</v>
      </c>
      <c r="BI39" s="399">
        <v>0.22</v>
      </c>
      <c r="BJ39" s="399">
        <v>1.01</v>
      </c>
      <c r="BK39" s="399">
        <v>15.85</v>
      </c>
      <c r="BL39" s="399">
        <v>1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19.112101475995452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37.009799999999998</v>
      </c>
      <c r="CJ39" s="399">
        <v>-10.710300000000011</v>
      </c>
      <c r="CK39" s="399"/>
      <c r="CL39" s="399"/>
      <c r="CM39" s="399"/>
      <c r="CN39" s="399"/>
      <c r="CO39" s="399">
        <v>-13.679900000000004</v>
      </c>
      <c r="CP39" s="399">
        <v>0.94349999999999956</v>
      </c>
      <c r="CQ39" s="399">
        <v>30</v>
      </c>
      <c r="CR39" s="399">
        <v>0.17800690606943448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-0.86081691359470192</v>
      </c>
      <c r="DA39" s="399">
        <v>0</v>
      </c>
      <c r="DB39" s="399">
        <v>0</v>
      </c>
      <c r="DC39" s="399">
        <v>0.94325515073170152</v>
      </c>
      <c r="DD39" s="399">
        <v>0</v>
      </c>
      <c r="DE39" s="399">
        <v>0</v>
      </c>
      <c r="DF39" s="399">
        <v>0</v>
      </c>
      <c r="DG39" s="399">
        <v>0.1122525613173746</v>
      </c>
      <c r="DH39" s="399">
        <v>0</v>
      </c>
      <c r="DI39" s="399">
        <v>0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0</v>
      </c>
      <c r="DP39" s="399">
        <v>-1.6683892384941792E-2</v>
      </c>
      <c r="DQ39" s="399">
        <v>0</v>
      </c>
      <c r="DR39" s="399">
        <v>0</v>
      </c>
      <c r="DS39" s="399"/>
      <c r="DT39" s="399"/>
      <c r="DU39" s="399"/>
      <c r="DV39" s="399">
        <v>21.168264864185481</v>
      </c>
      <c r="DW39" s="399">
        <v>0</v>
      </c>
      <c r="DX39" s="399">
        <v>0</v>
      </c>
      <c r="DY39" s="399">
        <v>-13.679900000000004</v>
      </c>
      <c r="DZ39" s="399">
        <v>0.94350000000000023</v>
      </c>
      <c r="EA39" s="399">
        <v>0</v>
      </c>
      <c r="EB39" s="399">
        <v>0</v>
      </c>
      <c r="EC39" s="399">
        <v>-12.914048876788785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227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2328</v>
      </c>
      <c r="D40" s="399" t="s">
        <v>1826</v>
      </c>
      <c r="E40" s="399" t="s">
        <v>890</v>
      </c>
      <c r="F40" s="399" t="s">
        <v>1239</v>
      </c>
      <c r="G40" s="399" t="s">
        <v>1239</v>
      </c>
      <c r="H40" s="399" t="s">
        <v>1239</v>
      </c>
      <c r="I40" s="399" t="s">
        <v>1239</v>
      </c>
      <c r="J40" s="399" t="s">
        <v>2329</v>
      </c>
      <c r="K40" s="789">
        <v>44501</v>
      </c>
      <c r="L40" s="399">
        <v>0</v>
      </c>
      <c r="M40" s="399">
        <v>0</v>
      </c>
      <c r="N40" s="399">
        <v>70.164000000000001</v>
      </c>
      <c r="O40" s="399">
        <v>70.164000000000001</v>
      </c>
      <c r="P40" s="399">
        <v>70.164000000000001</v>
      </c>
      <c r="Q40" s="399">
        <v>70.164000000000001</v>
      </c>
      <c r="R40" s="399"/>
      <c r="S40" s="399">
        <v>425.49</v>
      </c>
      <c r="T40" s="399">
        <v>205.96</v>
      </c>
      <c r="U40" s="399"/>
      <c r="V40" s="399">
        <v>44305.057800000002</v>
      </c>
      <c r="W40" s="399">
        <v>44305.057800000002</v>
      </c>
      <c r="X40" s="399">
        <v>33158.10312</v>
      </c>
      <c r="Y40" s="399">
        <v>0</v>
      </c>
      <c r="Z40" s="399">
        <v>4278.1870152141018</v>
      </c>
      <c r="AA40" s="399">
        <v>0</v>
      </c>
      <c r="AB40" s="399">
        <v>0</v>
      </c>
      <c r="AC40" s="399">
        <v>0</v>
      </c>
      <c r="AD40" s="399">
        <v>5687.6535173264228</v>
      </c>
      <c r="AE40" s="399">
        <v>17473.531010949529</v>
      </c>
      <c r="AF40" s="399">
        <v>14098.458535686339</v>
      </c>
      <c r="AG40" s="399">
        <v>352.80921993738264</v>
      </c>
      <c r="AH40" s="399">
        <v>0</v>
      </c>
      <c r="AI40" s="399">
        <v>0</v>
      </c>
      <c r="AJ40" s="399">
        <v>0</v>
      </c>
      <c r="AK40" s="399">
        <v>0</v>
      </c>
      <c r="AL40" s="399">
        <v>661.16735463713633</v>
      </c>
      <c r="AM40" s="399"/>
      <c r="AN40" s="399">
        <v>75.914161568840882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1677.7942638636002</v>
      </c>
      <c r="BH40" s="399">
        <v>0</v>
      </c>
      <c r="BI40" s="399">
        <v>248.75</v>
      </c>
      <c r="BJ40" s="399">
        <v>1154.54</v>
      </c>
      <c r="BK40" s="399">
        <v>14841.17</v>
      </c>
      <c r="BL40" s="399">
        <v>42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15776.252799549939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33156.212799999994</v>
      </c>
      <c r="CJ40" s="399">
        <v>-11148.875000000007</v>
      </c>
      <c r="CK40" s="399"/>
      <c r="CL40" s="399"/>
      <c r="CM40" s="399"/>
      <c r="CN40" s="399"/>
      <c r="CO40" s="399">
        <v>-11925.775079999999</v>
      </c>
      <c r="CP40" s="399">
        <v>778.82039999999961</v>
      </c>
      <c r="CQ40" s="399">
        <v>30</v>
      </c>
      <c r="CR40" s="399">
        <v>-487.51603569657891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-710.56891677010208</v>
      </c>
      <c r="DA40" s="399">
        <v>0</v>
      </c>
      <c r="DB40" s="399">
        <v>0</v>
      </c>
      <c r="DC40" s="399">
        <v>778.61828701104969</v>
      </c>
      <c r="DD40" s="399">
        <v>0</v>
      </c>
      <c r="DE40" s="399">
        <v>0</v>
      </c>
      <c r="DF40" s="399">
        <v>0</v>
      </c>
      <c r="DG40" s="399">
        <v>92.659867203203021</v>
      </c>
      <c r="DH40" s="399">
        <v>0</v>
      </c>
      <c r="DI40" s="399">
        <v>-560.63503232996482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-73.818374630794779</v>
      </c>
      <c r="DP40" s="399">
        <v>-13.771866179965365</v>
      </c>
      <c r="DQ40" s="399">
        <v>0</v>
      </c>
      <c r="DR40" s="399">
        <v>0</v>
      </c>
      <c r="DS40" s="399"/>
      <c r="DT40" s="399"/>
      <c r="DU40" s="399"/>
      <c r="DV40" s="399">
        <v>17473.531010949529</v>
      </c>
      <c r="DW40" s="399">
        <v>0</v>
      </c>
      <c r="DX40" s="399">
        <v>0</v>
      </c>
      <c r="DY40" s="399">
        <v>-11925.775079999999</v>
      </c>
      <c r="DZ40" s="399">
        <v>778.82040000000052</v>
      </c>
      <c r="EA40" s="399">
        <v>0</v>
      </c>
      <c r="EB40" s="399">
        <v>0</v>
      </c>
      <c r="EC40" s="399">
        <v>-10660.015592835391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227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2334</v>
      </c>
      <c r="D41" s="399" t="s">
        <v>533</v>
      </c>
      <c r="E41" s="399" t="s">
        <v>890</v>
      </c>
      <c r="F41" s="399" t="s">
        <v>1239</v>
      </c>
      <c r="G41" s="399" t="s">
        <v>1239</v>
      </c>
      <c r="H41" s="399" t="s">
        <v>1239</v>
      </c>
      <c r="I41" s="399" t="s">
        <v>893</v>
      </c>
      <c r="J41" s="399" t="s">
        <v>2329</v>
      </c>
      <c r="K41" s="789">
        <v>44501</v>
      </c>
      <c r="L41" s="399">
        <v>0</v>
      </c>
      <c r="M41" s="399">
        <v>0</v>
      </c>
      <c r="N41" s="399">
        <v>14.013</v>
      </c>
      <c r="O41" s="399">
        <v>14.013</v>
      </c>
      <c r="P41" s="399">
        <v>14.013</v>
      </c>
      <c r="Q41" s="399">
        <v>14.013</v>
      </c>
      <c r="R41" s="399"/>
      <c r="S41" s="399">
        <v>2109.83</v>
      </c>
      <c r="T41" s="399">
        <v>205.96</v>
      </c>
      <c r="U41" s="399"/>
      <c r="V41" s="399">
        <v>32451.165270000001</v>
      </c>
      <c r="W41" s="399">
        <v>32451.165270000001</v>
      </c>
      <c r="X41" s="399">
        <v>19149.60528</v>
      </c>
      <c r="Y41" s="399">
        <v>0</v>
      </c>
      <c r="Z41" s="399">
        <v>743.35420073613</v>
      </c>
      <c r="AA41" s="399">
        <v>0</v>
      </c>
      <c r="AB41" s="399">
        <v>0</v>
      </c>
      <c r="AC41" s="399">
        <v>0</v>
      </c>
      <c r="AD41" s="399">
        <v>8385.0436419914931</v>
      </c>
      <c r="AE41" s="399">
        <v>20166.527204438429</v>
      </c>
      <c r="AF41" s="399">
        <v>2815.713178561266</v>
      </c>
      <c r="AG41" s="399">
        <v>70.46228263757115</v>
      </c>
      <c r="AH41" s="399">
        <v>0</v>
      </c>
      <c r="AI41" s="399">
        <v>0</v>
      </c>
      <c r="AJ41" s="399">
        <v>0</v>
      </c>
      <c r="AK41" s="399">
        <v>0</v>
      </c>
      <c r="AL41" s="399">
        <v>132.04689214597502</v>
      </c>
      <c r="AM41" s="399"/>
      <c r="AN41" s="399">
        <v>8.6526446486061914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129.37541270434531</v>
      </c>
      <c r="BH41" s="399">
        <v>0</v>
      </c>
      <c r="BI41" s="399">
        <v>0</v>
      </c>
      <c r="BJ41" s="399">
        <v>0</v>
      </c>
      <c r="BK41" s="399">
        <v>0</v>
      </c>
      <c r="BL41" s="399">
        <v>0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2945.0885912656113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19145.5056</v>
      </c>
      <c r="CJ41" s="399">
        <v>-13305.689669999996</v>
      </c>
      <c r="CK41" s="399"/>
      <c r="CL41" s="399"/>
      <c r="CM41" s="399"/>
      <c r="CN41" s="399"/>
      <c r="CO41" s="399">
        <v>-13457.104289999999</v>
      </c>
      <c r="CP41" s="399">
        <v>155.54429999999991</v>
      </c>
      <c r="CQ41" s="399">
        <v>30</v>
      </c>
      <c r="CR41" s="399">
        <v>-998.63520984265051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-1047.55877966361</v>
      </c>
      <c r="DA41" s="399">
        <v>0</v>
      </c>
      <c r="DB41" s="399">
        <v>0</v>
      </c>
      <c r="DC41" s="399">
        <v>155.50393443768644</v>
      </c>
      <c r="DD41" s="399">
        <v>0</v>
      </c>
      <c r="DE41" s="399">
        <v>0</v>
      </c>
      <c r="DF41" s="399">
        <v>0</v>
      </c>
      <c r="DG41" s="399">
        <v>7.1450408543762762</v>
      </c>
      <c r="DH41" s="399">
        <v>0</v>
      </c>
      <c r="DI41" s="399">
        <v>-97.412853828097013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-14.742843676263149</v>
      </c>
      <c r="DP41" s="399">
        <v>-1.5697079667452831</v>
      </c>
      <c r="DQ41" s="399">
        <v>0</v>
      </c>
      <c r="DR41" s="399">
        <v>0</v>
      </c>
      <c r="DS41" s="399"/>
      <c r="DT41" s="399"/>
      <c r="DU41" s="399"/>
      <c r="DV41" s="399">
        <v>20166.527204438429</v>
      </c>
      <c r="DW41" s="399">
        <v>0</v>
      </c>
      <c r="DX41" s="399">
        <v>0</v>
      </c>
      <c r="DY41" s="399">
        <v>-13457.104290000001</v>
      </c>
      <c r="DZ41" s="399">
        <v>155.54430000000002</v>
      </c>
      <c r="EA41" s="399">
        <v>0</v>
      </c>
      <c r="EB41" s="399">
        <v>0</v>
      </c>
      <c r="EC41" s="399">
        <v>-12302.922306770233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227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2334</v>
      </c>
      <c r="D42" s="399" t="s">
        <v>533</v>
      </c>
      <c r="E42" s="399" t="s">
        <v>890</v>
      </c>
      <c r="F42" s="399" t="s">
        <v>1239</v>
      </c>
      <c r="G42" s="399" t="s">
        <v>1239</v>
      </c>
      <c r="H42" s="399" t="s">
        <v>1239</v>
      </c>
      <c r="I42" s="399" t="s">
        <v>2326</v>
      </c>
      <c r="J42" s="399" t="s">
        <v>2329</v>
      </c>
      <c r="K42" s="789">
        <v>44501</v>
      </c>
      <c r="L42" s="399">
        <v>0</v>
      </c>
      <c r="M42" s="399">
        <v>0</v>
      </c>
      <c r="N42" s="399">
        <v>418.13099999999997</v>
      </c>
      <c r="O42" s="399">
        <v>418.13099999999997</v>
      </c>
      <c r="P42" s="399">
        <v>418.13099999999997</v>
      </c>
      <c r="Q42" s="399">
        <v>418.13099999999997</v>
      </c>
      <c r="R42" s="399"/>
      <c r="S42" s="399">
        <v>72.319999999999993</v>
      </c>
      <c r="T42" s="399">
        <v>205.96</v>
      </c>
      <c r="U42" s="399"/>
      <c r="V42" s="399">
        <v>116357.49468</v>
      </c>
      <c r="W42" s="399">
        <v>116357.49468</v>
      </c>
      <c r="X42" s="399">
        <v>117816.77187</v>
      </c>
      <c r="Y42" s="399">
        <v>0</v>
      </c>
      <c r="Z42" s="399">
        <v>22180.79178676934</v>
      </c>
      <c r="AA42" s="399">
        <v>0</v>
      </c>
      <c r="AB42" s="399">
        <v>0</v>
      </c>
      <c r="AC42" s="399">
        <v>0</v>
      </c>
      <c r="AD42" s="399">
        <v>0</v>
      </c>
      <c r="AE42" s="399">
        <v>0</v>
      </c>
      <c r="AF42" s="399">
        <v>84017.481414757771</v>
      </c>
      <c r="AG42" s="399">
        <v>2102.5094342061129</v>
      </c>
      <c r="AH42" s="399">
        <v>0</v>
      </c>
      <c r="AI42" s="399">
        <v>0</v>
      </c>
      <c r="AJ42" s="399">
        <v>0</v>
      </c>
      <c r="AK42" s="399">
        <v>0</v>
      </c>
      <c r="AL42" s="399">
        <v>3940.1198215862896</v>
      </c>
      <c r="AM42" s="399"/>
      <c r="AN42" s="399">
        <v>258.18446867668274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3860.4061007265118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87877.887515484283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117816.4901</v>
      </c>
      <c r="CJ42" s="399">
        <v>1458.9654200000077</v>
      </c>
      <c r="CK42" s="399"/>
      <c r="CL42" s="399"/>
      <c r="CM42" s="399"/>
      <c r="CN42" s="399"/>
      <c r="CO42" s="399">
        <v>-3181.9769099999994</v>
      </c>
      <c r="CP42" s="399">
        <v>4641.2540999999974</v>
      </c>
      <c r="CQ42" s="399">
        <v>30</v>
      </c>
      <c r="CR42" s="399">
        <v>1459.8202506819653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0</v>
      </c>
      <c r="DA42" s="399">
        <v>0</v>
      </c>
      <c r="DB42" s="399">
        <v>0</v>
      </c>
      <c r="DC42" s="399">
        <v>4640.0496403599682</v>
      </c>
      <c r="DD42" s="399">
        <v>0</v>
      </c>
      <c r="DE42" s="399">
        <v>0</v>
      </c>
      <c r="DF42" s="399">
        <v>0</v>
      </c>
      <c r="DG42" s="399">
        <v>213.19939181340214</v>
      </c>
      <c r="DH42" s="399">
        <v>0</v>
      </c>
      <c r="DI42" s="399">
        <v>-2906.6819370581652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-439.90865404978103</v>
      </c>
      <c r="DP42" s="399">
        <v>-46.83819038344194</v>
      </c>
      <c r="DQ42" s="399">
        <v>0</v>
      </c>
      <c r="DR42" s="399">
        <v>0</v>
      </c>
      <c r="DS42" s="399"/>
      <c r="DT42" s="399"/>
      <c r="DU42" s="399"/>
      <c r="DV42" s="399">
        <v>0</v>
      </c>
      <c r="DW42" s="399">
        <v>0</v>
      </c>
      <c r="DX42" s="399">
        <v>0</v>
      </c>
      <c r="DY42" s="399">
        <v>-3181.9769100000012</v>
      </c>
      <c r="DZ42" s="399">
        <v>4641.254099999991</v>
      </c>
      <c r="EA42" s="399">
        <v>0</v>
      </c>
      <c r="EB42" s="399">
        <v>0</v>
      </c>
      <c r="EC42" s="399">
        <v>0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227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2334</v>
      </c>
      <c r="D43" s="399" t="s">
        <v>533</v>
      </c>
      <c r="E43" s="399" t="s">
        <v>890</v>
      </c>
      <c r="F43" s="399" t="s">
        <v>1239</v>
      </c>
      <c r="G43" s="399" t="s">
        <v>1239</v>
      </c>
      <c r="H43" s="399" t="s">
        <v>1239</v>
      </c>
      <c r="I43" s="399" t="s">
        <v>1239</v>
      </c>
      <c r="J43" s="399" t="s">
        <v>2329</v>
      </c>
      <c r="K43" s="789">
        <v>44501</v>
      </c>
      <c r="L43" s="399">
        <v>2255</v>
      </c>
      <c r="M43" s="399">
        <v>2255</v>
      </c>
      <c r="N43" s="399">
        <v>0</v>
      </c>
      <c r="O43" s="399">
        <v>0</v>
      </c>
      <c r="P43" s="399">
        <v>0</v>
      </c>
      <c r="Q43" s="399">
        <v>0</v>
      </c>
      <c r="R43" s="399">
        <v>26.79</v>
      </c>
      <c r="S43" s="399"/>
      <c r="T43" s="399"/>
      <c r="U43" s="399">
        <v>60411.45</v>
      </c>
      <c r="V43" s="399"/>
      <c r="W43" s="399">
        <v>60411.45</v>
      </c>
      <c r="X43" s="399">
        <v>34569.15</v>
      </c>
      <c r="Y43" s="399">
        <v>0</v>
      </c>
      <c r="Z43" s="399">
        <v>0</v>
      </c>
      <c r="AA43" s="399">
        <v>0</v>
      </c>
      <c r="AB43" s="399">
        <v>0</v>
      </c>
      <c r="AC43" s="399">
        <v>0</v>
      </c>
      <c r="AD43" s="399">
        <v>22713.674736325651</v>
      </c>
      <c r="AE43" s="399">
        <v>37705.489274873216</v>
      </c>
      <c r="AF43" s="399"/>
      <c r="AG43" s="399"/>
      <c r="AH43" s="399"/>
      <c r="AI43" s="399">
        <v>0</v>
      </c>
      <c r="AJ43" s="399">
        <v>0</v>
      </c>
      <c r="AK43" s="399">
        <v>0</v>
      </c>
      <c r="AL43" s="399">
        <v>0</v>
      </c>
      <c r="AM43" s="399"/>
      <c r="AN43" s="399">
        <v>0</v>
      </c>
      <c r="AO43" s="399">
        <v>0</v>
      </c>
      <c r="AP43" s="399">
        <v>0</v>
      </c>
      <c r="AQ43" s="399">
        <v>0</v>
      </c>
      <c r="AR43" s="399">
        <v>0</v>
      </c>
      <c r="AS43" s="399"/>
      <c r="AT43" s="399"/>
      <c r="AU43" s="399">
        <v>0</v>
      </c>
      <c r="AV43" s="399">
        <v>0</v>
      </c>
      <c r="AW43" s="399">
        <v>0</v>
      </c>
      <c r="AX43" s="399"/>
      <c r="AY43" s="399"/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/>
      <c r="BG43" s="399">
        <v>0</v>
      </c>
      <c r="BH43" s="399">
        <v>0</v>
      </c>
      <c r="BI43" s="399">
        <v>1048.05</v>
      </c>
      <c r="BJ43" s="399">
        <v>4878.3500000000004</v>
      </c>
      <c r="BK43" s="399">
        <v>79632.509999999995</v>
      </c>
      <c r="BL43" s="399">
        <v>12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0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34569.15</v>
      </c>
      <c r="CJ43" s="399">
        <v>-25842.33</v>
      </c>
      <c r="CK43" s="399"/>
      <c r="CL43" s="399"/>
      <c r="CM43" s="399"/>
      <c r="CN43" s="399"/>
      <c r="CO43" s="399">
        <v>-25842.3</v>
      </c>
      <c r="CP43" s="399">
        <v>0</v>
      </c>
      <c r="CQ43" s="399">
        <v>30</v>
      </c>
      <c r="CR43" s="399">
        <v>-2837.6607689081684</v>
      </c>
      <c r="CS43" s="399">
        <v>0</v>
      </c>
      <c r="CT43" s="399">
        <v>0</v>
      </c>
      <c r="CU43" s="399">
        <v>0</v>
      </c>
      <c r="CV43" s="399">
        <v>0</v>
      </c>
      <c r="CW43" s="399"/>
      <c r="CX43" s="399"/>
      <c r="CY43" s="399"/>
      <c r="CZ43" s="399">
        <v>-2837.6607689081684</v>
      </c>
      <c r="DA43" s="399">
        <v>0</v>
      </c>
      <c r="DB43" s="399">
        <v>0</v>
      </c>
      <c r="DC43" s="399"/>
      <c r="DD43" s="399"/>
      <c r="DE43" s="399">
        <v>0</v>
      </c>
      <c r="DF43" s="399">
        <v>0</v>
      </c>
      <c r="DG43" s="399">
        <v>0</v>
      </c>
      <c r="DH43" s="399">
        <v>0</v>
      </c>
      <c r="DI43" s="399">
        <v>0</v>
      </c>
      <c r="DJ43" s="399"/>
      <c r="DK43" s="399">
        <v>0</v>
      </c>
      <c r="DL43" s="399">
        <v>0</v>
      </c>
      <c r="DM43" s="399"/>
      <c r="DN43" s="399">
        <v>0</v>
      </c>
      <c r="DO43" s="399">
        <v>0</v>
      </c>
      <c r="DP43" s="399">
        <v>0</v>
      </c>
      <c r="DQ43" s="399">
        <v>0</v>
      </c>
      <c r="DR43" s="399">
        <v>0</v>
      </c>
      <c r="DS43" s="399"/>
      <c r="DT43" s="399"/>
      <c r="DU43" s="399">
        <v>37705.489274873216</v>
      </c>
      <c r="DV43" s="399"/>
      <c r="DW43" s="399">
        <v>0</v>
      </c>
      <c r="DX43" s="399">
        <v>0</v>
      </c>
      <c r="DY43" s="399">
        <v>-25842.299999999996</v>
      </c>
      <c r="DZ43" s="399"/>
      <c r="EA43" s="399">
        <v>0</v>
      </c>
      <c r="EB43" s="399"/>
      <c r="EC43" s="399">
        <v>-23002.855195882621</v>
      </c>
      <c r="ED43" s="399"/>
      <c r="EE43" s="399">
        <v>0</v>
      </c>
      <c r="EF43" s="399">
        <v>0</v>
      </c>
      <c r="EG43" s="399"/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/>
      <c r="EN43" s="399"/>
      <c r="EO43" s="399">
        <v>0</v>
      </c>
      <c r="EP43" s="399">
        <v>0</v>
      </c>
      <c r="EQ43" s="399"/>
      <c r="ER43" s="399">
        <v>0</v>
      </c>
      <c r="ES43" s="399"/>
      <c r="ET43" s="399">
        <v>0</v>
      </c>
      <c r="EU43" s="399"/>
      <c r="EV43" s="399">
        <v>227</v>
      </c>
      <c r="EW43" s="399"/>
      <c r="EX43" s="399"/>
      <c r="EY43" s="399"/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2328</v>
      </c>
      <c r="D44" s="399" t="s">
        <v>1826</v>
      </c>
      <c r="E44" s="399" t="s">
        <v>918</v>
      </c>
      <c r="F44" s="399" t="s">
        <v>1239</v>
      </c>
      <c r="G44" s="399" t="s">
        <v>1239</v>
      </c>
      <c r="H44" s="399" t="s">
        <v>1239</v>
      </c>
      <c r="I44" s="399" t="s">
        <v>1239</v>
      </c>
      <c r="J44" s="399" t="s">
        <v>2329</v>
      </c>
      <c r="K44" s="789">
        <v>44501</v>
      </c>
      <c r="L44" s="399">
        <v>0</v>
      </c>
      <c r="M44" s="399">
        <v>0</v>
      </c>
      <c r="N44" s="399">
        <v>11.826000000000001</v>
      </c>
      <c r="O44" s="399">
        <v>11.826000000000001</v>
      </c>
      <c r="P44" s="399">
        <v>11.826000000000001</v>
      </c>
      <c r="Q44" s="399">
        <v>11.826000000000001</v>
      </c>
      <c r="R44" s="399"/>
      <c r="S44" s="399">
        <v>425.49</v>
      </c>
      <c r="T44" s="399">
        <v>205.96</v>
      </c>
      <c r="U44" s="399"/>
      <c r="V44" s="399">
        <v>7467.5277000000006</v>
      </c>
      <c r="W44" s="399">
        <v>7467.5277000000006</v>
      </c>
      <c r="X44" s="399">
        <v>5588.7310799999996</v>
      </c>
      <c r="Y44" s="399">
        <v>0</v>
      </c>
      <c r="Z44" s="399">
        <v>721.07975089678428</v>
      </c>
      <c r="AA44" s="399">
        <v>0</v>
      </c>
      <c r="AB44" s="399">
        <v>0</v>
      </c>
      <c r="AC44" s="399">
        <v>0</v>
      </c>
      <c r="AD44" s="399">
        <v>958.64247328975375</v>
      </c>
      <c r="AE44" s="399">
        <v>2945.1282386336179</v>
      </c>
      <c r="AF44" s="399">
        <v>2376.2666131210685</v>
      </c>
      <c r="AG44" s="399">
        <v>59.465278988932887</v>
      </c>
      <c r="AH44" s="399">
        <v>0</v>
      </c>
      <c r="AI44" s="399">
        <v>0</v>
      </c>
      <c r="AJ44" s="399">
        <v>0</v>
      </c>
      <c r="AK44" s="399">
        <v>0</v>
      </c>
      <c r="AL44" s="399">
        <v>111.43841764920435</v>
      </c>
      <c r="AM44" s="399"/>
      <c r="AN44" s="399">
        <v>12.795178078688677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282.78882282154575</v>
      </c>
      <c r="BH44" s="399">
        <v>0</v>
      </c>
      <c r="BI44" s="399">
        <v>49.99</v>
      </c>
      <c r="BJ44" s="399">
        <v>232.24</v>
      </c>
      <c r="BK44" s="399">
        <v>2501.85</v>
      </c>
      <c r="BL44" s="399">
        <v>54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>
        <v>2659.0554359426142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5590.6214</v>
      </c>
      <c r="CJ44" s="399">
        <v>-1876.9363000000012</v>
      </c>
      <c r="CK44" s="399"/>
      <c r="CL44" s="399"/>
      <c r="CM44" s="399"/>
      <c r="CN44" s="399"/>
      <c r="CO44" s="399">
        <v>-2010.0652200000002</v>
      </c>
      <c r="CP44" s="399">
        <v>131.26859999999994</v>
      </c>
      <c r="CQ44" s="399">
        <v>30</v>
      </c>
      <c r="CR44" s="399">
        <v>-82.16983977748896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-119.76495082554061</v>
      </c>
      <c r="DA44" s="399">
        <v>0</v>
      </c>
      <c r="DB44" s="399">
        <v>0</v>
      </c>
      <c r="DC44" s="399">
        <v>131.23453426533069</v>
      </c>
      <c r="DD44" s="399">
        <v>0</v>
      </c>
      <c r="DE44" s="399">
        <v>0</v>
      </c>
      <c r="DF44" s="399">
        <v>0</v>
      </c>
      <c r="DG44" s="399">
        <v>15.617632825167902</v>
      </c>
      <c r="DH44" s="399">
        <v>0</v>
      </c>
      <c r="DI44" s="399">
        <v>-94.493898471212674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-12.441937437771202</v>
      </c>
      <c r="DP44" s="399">
        <v>-2.3212201334626084</v>
      </c>
      <c r="DQ44" s="399">
        <v>0</v>
      </c>
      <c r="DR44" s="399">
        <v>0</v>
      </c>
      <c r="DS44" s="399"/>
      <c r="DT44" s="399"/>
      <c r="DU44" s="399"/>
      <c r="DV44" s="399">
        <v>2945.1282386336179</v>
      </c>
      <c r="DW44" s="399">
        <v>0</v>
      </c>
      <c r="DX44" s="399">
        <v>0</v>
      </c>
      <c r="DY44" s="399">
        <v>-2010.0652200000004</v>
      </c>
      <c r="DZ44" s="399">
        <v>131.26859999999988</v>
      </c>
      <c r="EA44" s="399">
        <v>0</v>
      </c>
      <c r="EB44" s="399">
        <v>0</v>
      </c>
      <c r="EC44" s="399">
        <v>-1796.7240237282847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227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2328</v>
      </c>
      <c r="D45" s="399" t="s">
        <v>2335</v>
      </c>
      <c r="E45" s="399" t="s">
        <v>894</v>
      </c>
      <c r="F45" s="399" t="s">
        <v>1239</v>
      </c>
      <c r="G45" s="399" t="s">
        <v>1239</v>
      </c>
      <c r="H45" s="399" t="s">
        <v>1239</v>
      </c>
      <c r="I45" s="399" t="s">
        <v>1239</v>
      </c>
      <c r="J45" s="399" t="s">
        <v>2329</v>
      </c>
      <c r="K45" s="789">
        <v>44501</v>
      </c>
      <c r="L45" s="399">
        <v>0</v>
      </c>
      <c r="M45" s="399">
        <v>0</v>
      </c>
      <c r="N45" s="399">
        <v>65.001000000000005</v>
      </c>
      <c r="O45" s="399">
        <v>65.001000000000005</v>
      </c>
      <c r="P45" s="399">
        <v>65.001000000000005</v>
      </c>
      <c r="Q45" s="399">
        <v>65.001000000000005</v>
      </c>
      <c r="R45" s="399"/>
      <c r="S45" s="399">
        <v>425.49</v>
      </c>
      <c r="T45" s="399">
        <v>205.96</v>
      </c>
      <c r="U45" s="399"/>
      <c r="V45" s="399">
        <v>41044.881450000001</v>
      </c>
      <c r="W45" s="399">
        <v>41044.881450000001</v>
      </c>
      <c r="X45" s="399">
        <v>30718.172580000002</v>
      </c>
      <c r="Y45" s="399">
        <v>0</v>
      </c>
      <c r="Z45" s="399">
        <v>3963.3777175749938</v>
      </c>
      <c r="AA45" s="399">
        <v>0</v>
      </c>
      <c r="AB45" s="399">
        <v>0</v>
      </c>
      <c r="AC45" s="399">
        <v>0</v>
      </c>
      <c r="AD45" s="399">
        <v>5269.1289875111861</v>
      </c>
      <c r="AE45" s="399">
        <v>16187.745699257888</v>
      </c>
      <c r="AF45" s="399">
        <v>13061.027069125872</v>
      </c>
      <c r="AG45" s="399">
        <v>326.84784369690738</v>
      </c>
      <c r="AH45" s="399">
        <v>0</v>
      </c>
      <c r="AI45" s="399">
        <v>0</v>
      </c>
      <c r="AJ45" s="399">
        <v>0</v>
      </c>
      <c r="AK45" s="399">
        <v>0</v>
      </c>
      <c r="AL45" s="399">
        <v>612.51552389784649</v>
      </c>
      <c r="AM45" s="399"/>
      <c r="AN45" s="399">
        <v>70.328037400037431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1554.3342019468371</v>
      </c>
      <c r="BH45" s="399">
        <v>0</v>
      </c>
      <c r="BI45" s="399">
        <v>142.41</v>
      </c>
      <c r="BJ45" s="399">
        <v>668.94</v>
      </c>
      <c r="BK45" s="399">
        <v>5888.46</v>
      </c>
      <c r="BL45" s="399">
        <v>247</v>
      </c>
      <c r="BM45" s="399"/>
      <c r="BN45" s="399"/>
      <c r="BO45" s="399"/>
      <c r="BP45" s="399"/>
      <c r="BQ45" s="399"/>
      <c r="BR45" s="399">
        <v>3686.856720000002</v>
      </c>
      <c r="BS45" s="399"/>
      <c r="BT45" s="399"/>
      <c r="BU45" s="399"/>
      <c r="BV45" s="399">
        <v>14615.361271072708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27030.9</v>
      </c>
      <c r="CJ45" s="399">
        <v>-9088.8856799999994</v>
      </c>
      <c r="CK45" s="399"/>
      <c r="CL45" s="399"/>
      <c r="CM45" s="399"/>
      <c r="CN45" s="399"/>
      <c r="CO45" s="399">
        <v>-11048.21997</v>
      </c>
      <c r="CP45" s="399">
        <v>721.51109999999971</v>
      </c>
      <c r="CQ45" s="399">
        <v>30</v>
      </c>
      <c r="CR45" s="399">
        <v>-451.64229286120099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-658.28188471257999</v>
      </c>
      <c r="DA45" s="399">
        <v>0</v>
      </c>
      <c r="DB45" s="399">
        <v>0</v>
      </c>
      <c r="DC45" s="399">
        <v>721.32385944366615</v>
      </c>
      <c r="DD45" s="399">
        <v>0</v>
      </c>
      <c r="DE45" s="399">
        <v>0</v>
      </c>
      <c r="DF45" s="399">
        <v>0</v>
      </c>
      <c r="DG45" s="399">
        <v>85.841514566948945</v>
      </c>
      <c r="DH45" s="399">
        <v>0</v>
      </c>
      <c r="DI45" s="399">
        <v>-519.38084682287308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-68.386468407962639</v>
      </c>
      <c r="DP45" s="399">
        <v>-12.758466928395308</v>
      </c>
      <c r="DQ45" s="399">
        <v>0</v>
      </c>
      <c r="DR45" s="399">
        <v>0</v>
      </c>
      <c r="DS45" s="399"/>
      <c r="DT45" s="399"/>
      <c r="DU45" s="399"/>
      <c r="DV45" s="399">
        <v>16187.745699257888</v>
      </c>
      <c r="DW45" s="399">
        <v>0</v>
      </c>
      <c r="DX45" s="399">
        <v>0</v>
      </c>
      <c r="DY45" s="399">
        <v>-11048.219970000002</v>
      </c>
      <c r="DZ45" s="399">
        <v>721.51109999999971</v>
      </c>
      <c r="EA45" s="399">
        <v>0</v>
      </c>
      <c r="EB45" s="399">
        <v>0</v>
      </c>
      <c r="EC45" s="399">
        <v>-9875.6010710605624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227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2328</v>
      </c>
      <c r="D46" s="399" t="s">
        <v>1826</v>
      </c>
      <c r="E46" s="399" t="s">
        <v>2336</v>
      </c>
      <c r="F46" s="399" t="s">
        <v>1239</v>
      </c>
      <c r="G46" s="399" t="s">
        <v>1239</v>
      </c>
      <c r="H46" s="399" t="s">
        <v>1239</v>
      </c>
      <c r="I46" s="399" t="s">
        <v>1239</v>
      </c>
      <c r="J46" s="399" t="s">
        <v>2329</v>
      </c>
      <c r="K46" s="789">
        <v>44501</v>
      </c>
      <c r="L46" s="399">
        <v>0</v>
      </c>
      <c r="M46" s="399">
        <v>0</v>
      </c>
      <c r="N46" s="399">
        <v>3.8570000000000002</v>
      </c>
      <c r="O46" s="399">
        <v>3.8570000000000002</v>
      </c>
      <c r="P46" s="399">
        <v>3.8570000000000002</v>
      </c>
      <c r="Q46" s="399">
        <v>3.8570000000000002</v>
      </c>
      <c r="R46" s="399"/>
      <c r="S46" s="399">
        <v>425.49</v>
      </c>
      <c r="T46" s="399">
        <v>205.96</v>
      </c>
      <c r="U46" s="399"/>
      <c r="V46" s="399">
        <v>2435.5026500000004</v>
      </c>
      <c r="W46" s="399">
        <v>2435.5026500000004</v>
      </c>
      <c r="X46" s="399">
        <v>1822.7410600000001</v>
      </c>
      <c r="Y46" s="399">
        <v>0</v>
      </c>
      <c r="Z46" s="399">
        <v>235.17711814720928</v>
      </c>
      <c r="AA46" s="399">
        <v>0</v>
      </c>
      <c r="AB46" s="399">
        <v>0</v>
      </c>
      <c r="AC46" s="399">
        <v>0</v>
      </c>
      <c r="AD46" s="399">
        <v>312.65719765589211</v>
      </c>
      <c r="AE46" s="399">
        <v>960.54114801368712</v>
      </c>
      <c r="AF46" s="399">
        <v>775.00932917368175</v>
      </c>
      <c r="AG46" s="399">
        <v>19.394349827525296</v>
      </c>
      <c r="AH46" s="399">
        <v>0</v>
      </c>
      <c r="AI46" s="399">
        <v>0</v>
      </c>
      <c r="AJ46" s="399">
        <v>0</v>
      </c>
      <c r="AK46" s="399">
        <v>0</v>
      </c>
      <c r="AL46" s="399">
        <v>36.345169700066059</v>
      </c>
      <c r="AM46" s="399"/>
      <c r="AN46" s="399">
        <v>4.173093340901592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92.230381331194152</v>
      </c>
      <c r="BH46" s="399">
        <v>0</v>
      </c>
      <c r="BI46" s="399">
        <v>21.5</v>
      </c>
      <c r="BJ46" s="399">
        <v>99.69</v>
      </c>
      <c r="BK46" s="399">
        <v>830.42</v>
      </c>
      <c r="BL46" s="399">
        <v>13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>
        <v>867.23971050487592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1824.1587999999999</v>
      </c>
      <c r="CJ46" s="399">
        <v>-611.37385000000063</v>
      </c>
      <c r="CK46" s="399"/>
      <c r="CL46" s="399"/>
      <c r="CM46" s="399"/>
      <c r="CN46" s="399"/>
      <c r="CO46" s="399">
        <v>-655.57429000000002</v>
      </c>
      <c r="CP46" s="399">
        <v>42.812699999999978</v>
      </c>
      <c r="CQ46" s="399">
        <v>30</v>
      </c>
      <c r="CR46" s="399">
        <v>-26.799346526447607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-39.06083336158548</v>
      </c>
      <c r="DA46" s="399">
        <v>0</v>
      </c>
      <c r="DB46" s="399">
        <v>0</v>
      </c>
      <c r="DC46" s="399">
        <v>42.801589604378705</v>
      </c>
      <c r="DD46" s="399">
        <v>0</v>
      </c>
      <c r="DE46" s="399">
        <v>0</v>
      </c>
      <c r="DF46" s="399">
        <v>0</v>
      </c>
      <c r="DG46" s="399">
        <v>5.0936250470719244</v>
      </c>
      <c r="DH46" s="399">
        <v>0</v>
      </c>
      <c r="DI46" s="399">
        <v>-30.8187862678393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-4.057885396371006</v>
      </c>
      <c r="DP46" s="399">
        <v>-0.75705615210259403</v>
      </c>
      <c r="DQ46" s="399">
        <v>0</v>
      </c>
      <c r="DR46" s="399">
        <v>0</v>
      </c>
      <c r="DS46" s="399"/>
      <c r="DT46" s="399"/>
      <c r="DU46" s="399"/>
      <c r="DV46" s="399">
        <v>960.54114801368712</v>
      </c>
      <c r="DW46" s="399">
        <v>0</v>
      </c>
      <c r="DX46" s="399">
        <v>0</v>
      </c>
      <c r="DY46" s="399">
        <v>-655.57429000000013</v>
      </c>
      <c r="DZ46" s="399">
        <v>42.81269999999995</v>
      </c>
      <c r="EA46" s="399">
        <v>0</v>
      </c>
      <c r="EB46" s="399">
        <v>0</v>
      </c>
      <c r="EC46" s="399">
        <v>-585.9939590326394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227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2328</v>
      </c>
      <c r="D47" s="399" t="s">
        <v>2337</v>
      </c>
      <c r="E47" s="399" t="s">
        <v>2338</v>
      </c>
      <c r="F47" s="399" t="s">
        <v>2339</v>
      </c>
      <c r="G47" s="399" t="s">
        <v>1239</v>
      </c>
      <c r="H47" s="399" t="s">
        <v>1239</v>
      </c>
      <c r="I47" s="399" t="s">
        <v>1239</v>
      </c>
      <c r="J47" s="399" t="s">
        <v>2329</v>
      </c>
      <c r="K47" s="789">
        <v>44501</v>
      </c>
      <c r="L47" s="399">
        <v>0</v>
      </c>
      <c r="M47" s="399">
        <v>0</v>
      </c>
      <c r="N47" s="399">
        <v>18.594000000000001</v>
      </c>
      <c r="O47" s="399">
        <v>18.594000000000001</v>
      </c>
      <c r="P47" s="399">
        <v>18.594000000000001</v>
      </c>
      <c r="Q47" s="399">
        <v>18.594000000000001</v>
      </c>
      <c r="R47" s="399"/>
      <c r="S47" s="399">
        <v>234.02</v>
      </c>
      <c r="T47" s="399">
        <v>113.28</v>
      </c>
      <c r="U47" s="399"/>
      <c r="V47" s="399">
        <v>6457.6962000000003</v>
      </c>
      <c r="W47" s="399">
        <v>6457.6962000000003</v>
      </c>
      <c r="X47" s="399">
        <v>4832.7665400000005</v>
      </c>
      <c r="Y47" s="399">
        <v>0</v>
      </c>
      <c r="Z47" s="399">
        <v>623.56386677626733</v>
      </c>
      <c r="AA47" s="399">
        <v>0</v>
      </c>
      <c r="AB47" s="399">
        <v>0</v>
      </c>
      <c r="AC47" s="399">
        <v>0</v>
      </c>
      <c r="AD47" s="399">
        <v>828.99957564623116</v>
      </c>
      <c r="AE47" s="399">
        <v>2546.8411092537062</v>
      </c>
      <c r="AF47" s="399">
        <v>2054.9100095049175</v>
      </c>
      <c r="AG47" s="399">
        <v>51.42343722612204</v>
      </c>
      <c r="AH47" s="399">
        <v>0</v>
      </c>
      <c r="AI47" s="399">
        <v>0</v>
      </c>
      <c r="AJ47" s="399">
        <v>0</v>
      </c>
      <c r="AK47" s="399">
        <v>0</v>
      </c>
      <c r="AL47" s="399">
        <v>96.367940620084411</v>
      </c>
      <c r="AM47" s="399"/>
      <c r="AN47" s="399">
        <v>11.064810388747309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244.54561596052028</v>
      </c>
      <c r="BH47" s="399">
        <v>0</v>
      </c>
      <c r="BI47" s="399">
        <v>68.069999999999993</v>
      </c>
      <c r="BJ47" s="399">
        <v>314.22000000000003</v>
      </c>
      <c r="BK47" s="399">
        <v>2618.4499999999998</v>
      </c>
      <c r="BL47" s="399">
        <v>2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2299.4556254654376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4831.7268999999997</v>
      </c>
      <c r="CJ47" s="399">
        <v>-1625.9993000000013</v>
      </c>
      <c r="CK47" s="399"/>
      <c r="CL47" s="399"/>
      <c r="CM47" s="399"/>
      <c r="CN47" s="399"/>
      <c r="CO47" s="399">
        <v>-1738.3530600000004</v>
      </c>
      <c r="CP47" s="399">
        <v>113.4233999999999</v>
      </c>
      <c r="CQ47" s="399">
        <v>30</v>
      </c>
      <c r="CR47" s="399">
        <v>-71.057525828873622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-103.56842741481148</v>
      </c>
      <c r="DA47" s="399">
        <v>0</v>
      </c>
      <c r="DB47" s="399">
        <v>0</v>
      </c>
      <c r="DC47" s="399">
        <v>113.48691117634417</v>
      </c>
      <c r="DD47" s="399">
        <v>0</v>
      </c>
      <c r="DE47" s="399">
        <v>0</v>
      </c>
      <c r="DF47" s="399">
        <v>0</v>
      </c>
      <c r="DG47" s="399">
        <v>13.505567868521638</v>
      </c>
      <c r="DH47" s="399">
        <v>0</v>
      </c>
      <c r="DI47" s="399">
        <v>-81.714929096527953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-10.759340571186868</v>
      </c>
      <c r="DP47" s="399">
        <v>-2.0073077912127637</v>
      </c>
      <c r="DQ47" s="399">
        <v>0</v>
      </c>
      <c r="DR47" s="399">
        <v>0</v>
      </c>
      <c r="DS47" s="399"/>
      <c r="DT47" s="399"/>
      <c r="DU47" s="399"/>
      <c r="DV47" s="399">
        <v>2546.8411092537062</v>
      </c>
      <c r="DW47" s="399">
        <v>0</v>
      </c>
      <c r="DX47" s="399">
        <v>0</v>
      </c>
      <c r="DY47" s="399">
        <v>-1738.3530600000004</v>
      </c>
      <c r="DZ47" s="399">
        <v>113.42340000000013</v>
      </c>
      <c r="EA47" s="399">
        <v>0</v>
      </c>
      <c r="EB47" s="399">
        <v>0</v>
      </c>
      <c r="EC47" s="399">
        <v>-1553.742395861826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227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2328</v>
      </c>
      <c r="D48" s="399" t="s">
        <v>2335</v>
      </c>
      <c r="E48" s="399" t="s">
        <v>894</v>
      </c>
      <c r="F48" s="399" t="s">
        <v>2342</v>
      </c>
      <c r="G48" s="399" t="s">
        <v>2340</v>
      </c>
      <c r="H48" s="399" t="s">
        <v>1239</v>
      </c>
      <c r="I48" s="399" t="s">
        <v>1239</v>
      </c>
      <c r="J48" s="399" t="s">
        <v>2329</v>
      </c>
      <c r="K48" s="789">
        <v>44501</v>
      </c>
      <c r="L48" s="399">
        <v>0</v>
      </c>
      <c r="M48" s="399">
        <v>0</v>
      </c>
      <c r="N48" s="399">
        <v>0</v>
      </c>
      <c r="O48" s="399">
        <v>0</v>
      </c>
      <c r="P48" s="399">
        <v>0</v>
      </c>
      <c r="Q48" s="399">
        <v>0</v>
      </c>
      <c r="R48" s="399"/>
      <c r="S48" s="399"/>
      <c r="T48" s="399"/>
      <c r="U48" s="399"/>
      <c r="V48" s="399"/>
      <c r="W48" s="399"/>
      <c r="X48" s="399"/>
      <c r="Y48" s="399"/>
      <c r="Z48" s="399"/>
      <c r="AA48" s="399">
        <v>0</v>
      </c>
      <c r="AB48" s="399"/>
      <c r="AC48" s="399"/>
      <c r="AD48" s="399"/>
      <c r="AE48" s="399"/>
      <c r="AF48" s="399"/>
      <c r="AG48" s="399"/>
      <c r="AH48" s="399"/>
      <c r="AI48" s="399"/>
      <c r="AJ48" s="399"/>
      <c r="AK48" s="399"/>
      <c r="AL48" s="399"/>
      <c r="AM48" s="399"/>
      <c r="AN48" s="399"/>
      <c r="AO48" s="399"/>
      <c r="AP48" s="399"/>
      <c r="AQ48" s="399"/>
      <c r="AR48" s="399"/>
      <c r="AS48" s="399"/>
      <c r="AT48" s="399"/>
      <c r="AU48" s="399"/>
      <c r="AV48" s="399"/>
      <c r="AW48" s="399"/>
      <c r="AX48" s="399"/>
      <c r="AY48" s="399"/>
      <c r="AZ48" s="399">
        <v>0</v>
      </c>
      <c r="BA48" s="399"/>
      <c r="BB48" s="399"/>
      <c r="BC48" s="399"/>
      <c r="BD48" s="399"/>
      <c r="BE48" s="399"/>
      <c r="BF48" s="399"/>
      <c r="BG48" s="399"/>
      <c r="BH48" s="399"/>
      <c r="BI48" s="399">
        <v>2.02</v>
      </c>
      <c r="BJ48" s="399">
        <v>9.44</v>
      </c>
      <c r="BK48" s="399">
        <v>118.86</v>
      </c>
      <c r="BL48" s="399">
        <v>1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/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/>
      <c r="CJ48" s="399">
        <v>-0.03</v>
      </c>
      <c r="CK48" s="399"/>
      <c r="CL48" s="399"/>
      <c r="CM48" s="399"/>
      <c r="CN48" s="399"/>
      <c r="CO48" s="399">
        <v>0</v>
      </c>
      <c r="CP48" s="399">
        <v>0</v>
      </c>
      <c r="CQ48" s="399">
        <v>30</v>
      </c>
      <c r="CR48" s="399"/>
      <c r="CS48" s="399"/>
      <c r="CT48" s="399"/>
      <c r="CU48" s="399"/>
      <c r="CV48" s="399"/>
      <c r="CW48" s="399"/>
      <c r="CX48" s="399"/>
      <c r="CY48" s="399"/>
      <c r="CZ48" s="399"/>
      <c r="DA48" s="399"/>
      <c r="DB48" s="399"/>
      <c r="DC48" s="399"/>
      <c r="DD48" s="399"/>
      <c r="DE48" s="399"/>
      <c r="DF48" s="399"/>
      <c r="DG48" s="399"/>
      <c r="DH48" s="399"/>
      <c r="DI48" s="399"/>
      <c r="DJ48" s="399"/>
      <c r="DK48" s="399">
        <v>0</v>
      </c>
      <c r="DL48" s="399"/>
      <c r="DM48" s="399"/>
      <c r="DN48" s="399"/>
      <c r="DO48" s="399"/>
      <c r="DP48" s="399"/>
      <c r="DQ48" s="399"/>
      <c r="DR48" s="399"/>
      <c r="DS48" s="399"/>
      <c r="DT48" s="399"/>
      <c r="DU48" s="399"/>
      <c r="DV48" s="399"/>
      <c r="DW48" s="399"/>
      <c r="DX48" s="399"/>
      <c r="DY48" s="399"/>
      <c r="DZ48" s="399"/>
      <c r="EA48" s="399"/>
      <c r="EB48" s="399"/>
      <c r="EC48" s="399"/>
      <c r="ED48" s="399"/>
      <c r="EE48" s="399"/>
      <c r="EF48" s="399"/>
      <c r="EG48" s="399"/>
      <c r="EH48" s="399"/>
      <c r="EI48" s="399"/>
      <c r="EJ48" s="399"/>
      <c r="EK48" s="399"/>
      <c r="EL48" s="399"/>
      <c r="EM48" s="399"/>
      <c r="EN48" s="399"/>
      <c r="EO48" s="399"/>
      <c r="EP48" s="399"/>
      <c r="EQ48" s="399"/>
      <c r="ER48" s="399"/>
      <c r="ES48" s="399"/>
      <c r="ET48" s="399"/>
      <c r="EU48" s="399"/>
      <c r="EV48" s="399">
        <v>227</v>
      </c>
      <c r="EW48" s="399"/>
      <c r="EX48" s="399"/>
      <c r="EY48" s="399"/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956</v>
      </c>
      <c r="C49" s="399" t="s">
        <v>2328</v>
      </c>
      <c r="D49" s="399" t="s">
        <v>2335</v>
      </c>
      <c r="E49" s="399" t="s">
        <v>894</v>
      </c>
      <c r="F49" s="399" t="s">
        <v>2342</v>
      </c>
      <c r="G49" s="399" t="s">
        <v>2340</v>
      </c>
      <c r="H49" s="399" t="s">
        <v>1239</v>
      </c>
      <c r="I49" s="399" t="s">
        <v>1239</v>
      </c>
      <c r="J49" s="399" t="s">
        <v>2329</v>
      </c>
      <c r="K49" s="789">
        <v>44501</v>
      </c>
      <c r="L49" s="399">
        <v>0</v>
      </c>
      <c r="M49" s="399">
        <v>0</v>
      </c>
      <c r="N49" s="399">
        <v>0.71799999999999997</v>
      </c>
      <c r="O49" s="399">
        <v>0.71799999999999997</v>
      </c>
      <c r="P49" s="399">
        <v>0.71799999999999997</v>
      </c>
      <c r="Q49" s="399">
        <v>0.71799999999999997</v>
      </c>
      <c r="R49" s="399"/>
      <c r="S49" s="399">
        <v>425.49</v>
      </c>
      <c r="T49" s="399">
        <v>205.96</v>
      </c>
      <c r="U49" s="399"/>
      <c r="V49" s="399">
        <v>453.3811</v>
      </c>
      <c r="W49" s="399">
        <v>453.3811</v>
      </c>
      <c r="X49" s="399">
        <v>339.31243999999998</v>
      </c>
      <c r="Y49" s="399">
        <v>0</v>
      </c>
      <c r="Z49" s="399">
        <v>43.779406489420857</v>
      </c>
      <c r="AA49" s="399">
        <v>0</v>
      </c>
      <c r="AB49" s="399">
        <v>0</v>
      </c>
      <c r="AC49" s="399">
        <v>0</v>
      </c>
      <c r="AD49" s="399">
        <v>58.202714004908096</v>
      </c>
      <c r="AE49" s="399">
        <v>178.80957849982559</v>
      </c>
      <c r="AF49" s="399">
        <v>144.27189482673151</v>
      </c>
      <c r="AG49" s="399">
        <v>3.6103560218208868</v>
      </c>
      <c r="AH49" s="399">
        <v>0</v>
      </c>
      <c r="AI49" s="399">
        <v>0</v>
      </c>
      <c r="AJ49" s="399">
        <v>0</v>
      </c>
      <c r="AK49" s="399">
        <v>0</v>
      </c>
      <c r="AL49" s="399">
        <v>6.765836620338975</v>
      </c>
      <c r="AM49" s="399"/>
      <c r="AN49" s="399">
        <v>0.77684236939780726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17.169150582265335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/>
      <c r="BR49" s="399">
        <v>40.724960000000017</v>
      </c>
      <c r="BS49" s="399"/>
      <c r="BT49" s="399"/>
      <c r="BU49" s="399"/>
      <c r="BV49" s="399">
        <v>161.44104540899684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299.41919999999999</v>
      </c>
      <c r="CJ49" s="399">
        <v>-99.589039999999954</v>
      </c>
      <c r="CK49" s="399"/>
      <c r="CL49" s="399"/>
      <c r="CM49" s="399"/>
      <c r="CN49" s="399"/>
      <c r="CO49" s="399">
        <v>-122.03846</v>
      </c>
      <c r="CP49" s="399">
        <v>7.9697999999999958</v>
      </c>
      <c r="CQ49" s="399">
        <v>30</v>
      </c>
      <c r="CR49" s="399">
        <v>-4.9888334990898215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-7.2713711054234835</v>
      </c>
      <c r="DA49" s="399">
        <v>0</v>
      </c>
      <c r="DB49" s="399">
        <v>0</v>
      </c>
      <c r="DC49" s="399">
        <v>7.9677317438278124</v>
      </c>
      <c r="DD49" s="399">
        <v>0</v>
      </c>
      <c r="DE49" s="399">
        <v>0</v>
      </c>
      <c r="DF49" s="399">
        <v>0</v>
      </c>
      <c r="DG49" s="399">
        <v>0.94820398853970289</v>
      </c>
      <c r="DH49" s="399">
        <v>0</v>
      </c>
      <c r="DI49" s="399">
        <v>-5.7370724760976444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-0.75539582955519435</v>
      </c>
      <c r="DP49" s="399">
        <v>-0.14092982038103774</v>
      </c>
      <c r="DQ49" s="399">
        <v>0</v>
      </c>
      <c r="DR49" s="399">
        <v>0</v>
      </c>
      <c r="DS49" s="399"/>
      <c r="DT49" s="399"/>
      <c r="DU49" s="399"/>
      <c r="DV49" s="399">
        <v>178.80957849982559</v>
      </c>
      <c r="DW49" s="399">
        <v>0</v>
      </c>
      <c r="DX49" s="399">
        <v>0</v>
      </c>
      <c r="DY49" s="399">
        <v>-122.03846000000001</v>
      </c>
      <c r="DZ49" s="399">
        <v>7.9697999999999922</v>
      </c>
      <c r="EA49" s="399">
        <v>0</v>
      </c>
      <c r="EB49" s="399">
        <v>0</v>
      </c>
      <c r="EC49" s="399">
        <v>-109.08573051216879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227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2328</v>
      </c>
      <c r="D50" s="399" t="s">
        <v>2335</v>
      </c>
      <c r="E50" s="399" t="s">
        <v>894</v>
      </c>
      <c r="F50" s="399" t="s">
        <v>2342</v>
      </c>
      <c r="G50" s="399" t="s">
        <v>2341</v>
      </c>
      <c r="H50" s="399" t="s">
        <v>1239</v>
      </c>
      <c r="I50" s="399" t="s">
        <v>1239</v>
      </c>
      <c r="J50" s="399" t="s">
        <v>2329</v>
      </c>
      <c r="K50" s="789">
        <v>44501</v>
      </c>
      <c r="L50" s="399">
        <v>0</v>
      </c>
      <c r="M50" s="399">
        <v>0</v>
      </c>
      <c r="N50" s="399">
        <v>0.46100000000000002</v>
      </c>
      <c r="O50" s="399">
        <v>0.18440000000000001</v>
      </c>
      <c r="P50" s="399">
        <v>0.46100000000000002</v>
      </c>
      <c r="Q50" s="399">
        <v>0.18440000000000001</v>
      </c>
      <c r="R50" s="399"/>
      <c r="S50" s="399">
        <v>425.49</v>
      </c>
      <c r="T50" s="399">
        <v>205.96</v>
      </c>
      <c r="U50" s="399"/>
      <c r="V50" s="399">
        <v>291.09845000000001</v>
      </c>
      <c r="W50" s="399">
        <v>291.09845000000001</v>
      </c>
      <c r="X50" s="399">
        <v>217.85938000000002</v>
      </c>
      <c r="Y50" s="399">
        <v>0</v>
      </c>
      <c r="Z50" s="399">
        <v>28.109061826773004</v>
      </c>
      <c r="AA50" s="399">
        <v>0</v>
      </c>
      <c r="AB50" s="399">
        <v>0</v>
      </c>
      <c r="AC50" s="399">
        <v>0</v>
      </c>
      <c r="AD50" s="399">
        <v>37.369709131285006</v>
      </c>
      <c r="AE50" s="399">
        <v>114.80670708693538</v>
      </c>
      <c r="AF50" s="399">
        <v>92.631397653374975</v>
      </c>
      <c r="AG50" s="399">
        <v>2.3180698134532438</v>
      </c>
      <c r="AH50" s="399">
        <v>0</v>
      </c>
      <c r="AI50" s="399">
        <v>0</v>
      </c>
      <c r="AJ50" s="399">
        <v>0</v>
      </c>
      <c r="AK50" s="399">
        <v>0</v>
      </c>
      <c r="AL50" s="399">
        <v>4.3440817297719612</v>
      </c>
      <c r="AM50" s="399"/>
      <c r="AN50" s="399">
        <v>0.49878040709246402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11.023646822317994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/>
      <c r="BS50" s="399">
        <v>141.17479600000001</v>
      </c>
      <c r="BT50" s="399"/>
      <c r="BU50" s="399"/>
      <c r="BV50" s="399">
        <v>103.65504447569297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74.854799999999997</v>
      </c>
      <c r="CJ50" s="399">
        <v>-27.642592000000022</v>
      </c>
      <c r="CK50" s="399"/>
      <c r="CL50" s="399"/>
      <c r="CM50" s="399"/>
      <c r="CN50" s="399"/>
      <c r="CO50" s="399">
        <v>-78.356170000000006</v>
      </c>
      <c r="CP50" s="399">
        <v>5.117099999999998</v>
      </c>
      <c r="CQ50" s="399">
        <v>30</v>
      </c>
      <c r="CR50" s="399">
        <v>-3.2031368288027977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-4.6686658490253876</v>
      </c>
      <c r="DA50" s="399">
        <v>0</v>
      </c>
      <c r="DB50" s="399">
        <v>0</v>
      </c>
      <c r="DC50" s="399">
        <v>5.1157720527919537</v>
      </c>
      <c r="DD50" s="399">
        <v>0</v>
      </c>
      <c r="DE50" s="399">
        <v>0</v>
      </c>
      <c r="DF50" s="399">
        <v>0</v>
      </c>
      <c r="DG50" s="399">
        <v>0.60880506785070132</v>
      </c>
      <c r="DH50" s="399">
        <v>0</v>
      </c>
      <c r="DI50" s="399">
        <v>-3.6835521051267577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-0.48501041424086999</v>
      </c>
      <c r="DP50" s="399">
        <v>-9.0485581052448971E-2</v>
      </c>
      <c r="DQ50" s="399">
        <v>0</v>
      </c>
      <c r="DR50" s="399">
        <v>0</v>
      </c>
      <c r="DS50" s="399"/>
      <c r="DT50" s="399"/>
      <c r="DU50" s="399"/>
      <c r="DV50" s="399">
        <v>114.80670708693538</v>
      </c>
      <c r="DW50" s="399">
        <v>0</v>
      </c>
      <c r="DX50" s="399">
        <v>0</v>
      </c>
      <c r="DY50" s="399">
        <v>-78.356169999999992</v>
      </c>
      <c r="DZ50" s="399">
        <v>5.1170999999999935</v>
      </c>
      <c r="EA50" s="399">
        <v>0</v>
      </c>
      <c r="EB50" s="399">
        <v>0</v>
      </c>
      <c r="EC50" s="399">
        <v>-70.03972390823094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227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956</v>
      </c>
      <c r="C51" s="399" t="s">
        <v>2328</v>
      </c>
      <c r="D51" s="399" t="s">
        <v>1823</v>
      </c>
      <c r="E51" s="399" t="s">
        <v>889</v>
      </c>
      <c r="F51" s="399" t="s">
        <v>889</v>
      </c>
      <c r="G51" s="399" t="s">
        <v>1239</v>
      </c>
      <c r="H51" s="399" t="s">
        <v>1239</v>
      </c>
      <c r="I51" s="399" t="s">
        <v>1239</v>
      </c>
      <c r="J51" s="399" t="s">
        <v>2329</v>
      </c>
      <c r="K51" s="789">
        <v>44531</v>
      </c>
      <c r="L51" s="399">
        <v>0</v>
      </c>
      <c r="M51" s="399">
        <v>0</v>
      </c>
      <c r="N51" s="399">
        <v>210.59100000000001</v>
      </c>
      <c r="O51" s="399">
        <v>210.59100000000001</v>
      </c>
      <c r="P51" s="399">
        <v>210.59100000000001</v>
      </c>
      <c r="Q51" s="399">
        <v>210.59100000000001</v>
      </c>
      <c r="R51" s="399"/>
      <c r="S51" s="399">
        <v>425.49</v>
      </c>
      <c r="T51" s="399">
        <v>205.96</v>
      </c>
      <c r="U51" s="399"/>
      <c r="V51" s="399">
        <v>132977.68695</v>
      </c>
      <c r="W51" s="399">
        <v>132977.68695</v>
      </c>
      <c r="X51" s="399">
        <v>99521.094780000014</v>
      </c>
      <c r="Y51" s="399">
        <v>0</v>
      </c>
      <c r="Z51" s="399">
        <v>12840.597481913132</v>
      </c>
      <c r="AA51" s="399">
        <v>0</v>
      </c>
      <c r="AB51" s="399">
        <v>0</v>
      </c>
      <c r="AC51" s="399">
        <v>0</v>
      </c>
      <c r="AD51" s="399">
        <v>17070.985717280782</v>
      </c>
      <c r="AE51" s="399">
        <v>52445.247835455113</v>
      </c>
      <c r="AF51" s="399">
        <v>42315.268249939021</v>
      </c>
      <c r="AG51" s="399">
        <v>1058.9254665616747</v>
      </c>
      <c r="AH51" s="399">
        <v>0</v>
      </c>
      <c r="AI51" s="399">
        <v>0</v>
      </c>
      <c r="AJ51" s="399">
        <v>0</v>
      </c>
      <c r="AK51" s="399">
        <v>0</v>
      </c>
      <c r="AL51" s="399">
        <v>1984.4349578186702</v>
      </c>
      <c r="AM51" s="399"/>
      <c r="AN51" s="399">
        <v>227.84959806943405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5035.7501257240101</v>
      </c>
      <c r="BH51" s="399">
        <v>0</v>
      </c>
      <c r="BI51" s="399">
        <v>379.83</v>
      </c>
      <c r="BJ51" s="399">
        <v>1775.42</v>
      </c>
      <c r="BK51" s="399">
        <v>29833.18</v>
      </c>
      <c r="BL51" s="399">
        <v>942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47351.018375663029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99520.622199999998</v>
      </c>
      <c r="CJ51" s="399">
        <v>-33457.094750000033</v>
      </c>
      <c r="CK51" s="399"/>
      <c r="CL51" s="399"/>
      <c r="CM51" s="399"/>
      <c r="CN51" s="399"/>
      <c r="CO51" s="399">
        <v>-35794.152269999999</v>
      </c>
      <c r="CP51" s="399">
        <v>2337.5600999999988</v>
      </c>
      <c r="CQ51" s="399"/>
      <c r="CR51" s="399">
        <v>-1463.2359824607411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-2132.7093488331993</v>
      </c>
      <c r="DA51" s="399">
        <v>0</v>
      </c>
      <c r="DB51" s="399">
        <v>0</v>
      </c>
      <c r="DC51" s="399">
        <v>2336.9534758557711</v>
      </c>
      <c r="DD51" s="399">
        <v>0</v>
      </c>
      <c r="DE51" s="399">
        <v>0</v>
      </c>
      <c r="DF51" s="399">
        <v>0</v>
      </c>
      <c r="DG51" s="399">
        <v>278.11034282808487</v>
      </c>
      <c r="DH51" s="399">
        <v>0</v>
      </c>
      <c r="DI51" s="399">
        <v>-1682.6961418020601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-221.55928014186338</v>
      </c>
      <c r="DP51" s="399">
        <v>-41.335030367497382</v>
      </c>
      <c r="DQ51" s="399">
        <v>0</v>
      </c>
      <c r="DR51" s="399">
        <v>0</v>
      </c>
      <c r="DS51" s="399"/>
      <c r="DT51" s="399"/>
      <c r="DU51" s="399"/>
      <c r="DV51" s="399">
        <v>52445.247835455113</v>
      </c>
      <c r="DW51" s="399">
        <v>0</v>
      </c>
      <c r="DX51" s="399">
        <v>0</v>
      </c>
      <c r="DY51" s="399">
        <v>-35794.152270000006</v>
      </c>
      <c r="DZ51" s="399">
        <v>2337.5600999999951</v>
      </c>
      <c r="EA51" s="399">
        <v>0</v>
      </c>
      <c r="EB51" s="399">
        <v>0</v>
      </c>
      <c r="EC51" s="399">
        <v>-31995.087847197963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227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2328</v>
      </c>
      <c r="D52" s="399" t="s">
        <v>1823</v>
      </c>
      <c r="E52" s="399" t="s">
        <v>889</v>
      </c>
      <c r="F52" s="399" t="s">
        <v>2330</v>
      </c>
      <c r="G52" s="399" t="s">
        <v>1239</v>
      </c>
      <c r="H52" s="399" t="s">
        <v>1239</v>
      </c>
      <c r="I52" s="399" t="s">
        <v>1239</v>
      </c>
      <c r="J52" s="399" t="s">
        <v>2329</v>
      </c>
      <c r="K52" s="789">
        <v>44531</v>
      </c>
      <c r="L52" s="399">
        <v>0</v>
      </c>
      <c r="M52" s="399">
        <v>0</v>
      </c>
      <c r="N52" s="399">
        <v>0.09</v>
      </c>
      <c r="O52" s="399">
        <v>0.09</v>
      </c>
      <c r="P52" s="399">
        <v>0.09</v>
      </c>
      <c r="Q52" s="399">
        <v>0.09</v>
      </c>
      <c r="R52" s="399"/>
      <c r="S52" s="399">
        <v>355.1</v>
      </c>
      <c r="T52" s="399">
        <v>205.96</v>
      </c>
      <c r="U52" s="399"/>
      <c r="V52" s="399">
        <v>50.495400000000004</v>
      </c>
      <c r="W52" s="399">
        <v>50.495400000000004</v>
      </c>
      <c r="X52" s="399">
        <v>37.009799999999998</v>
      </c>
      <c r="Y52" s="399">
        <v>0</v>
      </c>
      <c r="Z52" s="399">
        <v>0</v>
      </c>
      <c r="AA52" s="399">
        <v>0</v>
      </c>
      <c r="AB52" s="399">
        <v>0</v>
      </c>
      <c r="AC52" s="399">
        <v>0</v>
      </c>
      <c r="AD52" s="399">
        <v>7.2956048195567247</v>
      </c>
      <c r="AE52" s="399">
        <v>22.413456915019921</v>
      </c>
      <c r="AF52" s="399">
        <v>18.084220800008129</v>
      </c>
      <c r="AG52" s="399">
        <v>0.45255159047894122</v>
      </c>
      <c r="AH52" s="399">
        <v>0</v>
      </c>
      <c r="AI52" s="399">
        <v>0</v>
      </c>
      <c r="AJ52" s="399">
        <v>0</v>
      </c>
      <c r="AK52" s="399">
        <v>0</v>
      </c>
      <c r="AL52" s="399">
        <v>0</v>
      </c>
      <c r="AM52" s="399"/>
      <c r="AN52" s="399">
        <v>9.7375784464906204E-2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2.1521219392811699</v>
      </c>
      <c r="BH52" s="399">
        <v>0</v>
      </c>
      <c r="BI52" s="399">
        <v>0.03</v>
      </c>
      <c r="BJ52" s="399">
        <v>0.09</v>
      </c>
      <c r="BK52" s="399">
        <v>1.77</v>
      </c>
      <c r="BL52" s="399">
        <v>0</v>
      </c>
      <c r="BM52" s="399"/>
      <c r="BN52" s="399"/>
      <c r="BO52" s="399"/>
      <c r="BP52" s="399"/>
      <c r="BQ52" s="399"/>
      <c r="BR52" s="399"/>
      <c r="BS52" s="399"/>
      <c r="BT52" s="399">
        <v>24.056100000000001</v>
      </c>
      <c r="BU52" s="399"/>
      <c r="BV52" s="399">
        <v>20.236342739289299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12.9537</v>
      </c>
      <c r="CJ52" s="399">
        <v>-4.7496000000000027</v>
      </c>
      <c r="CK52" s="399"/>
      <c r="CL52" s="399"/>
      <c r="CM52" s="399"/>
      <c r="CN52" s="399"/>
      <c r="CO52" s="399">
        <v>-14.484600000000002</v>
      </c>
      <c r="CP52" s="399">
        <v>0.99899999999999944</v>
      </c>
      <c r="CQ52" s="399"/>
      <c r="CR52" s="399">
        <v>0.18847790054411107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-0.91145320262968443</v>
      </c>
      <c r="DA52" s="399">
        <v>0</v>
      </c>
      <c r="DB52" s="399">
        <v>0</v>
      </c>
      <c r="DC52" s="399">
        <v>0.99874074783356903</v>
      </c>
      <c r="DD52" s="399">
        <v>0</v>
      </c>
      <c r="DE52" s="399">
        <v>0</v>
      </c>
      <c r="DF52" s="399">
        <v>0</v>
      </c>
      <c r="DG52" s="399">
        <v>0.11885565315957303</v>
      </c>
      <c r="DH52" s="399">
        <v>0</v>
      </c>
      <c r="DI52" s="399">
        <v>0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0</v>
      </c>
      <c r="DP52" s="399">
        <v>-1.7665297819350126E-2</v>
      </c>
      <c r="DQ52" s="399">
        <v>0</v>
      </c>
      <c r="DR52" s="399">
        <v>0</v>
      </c>
      <c r="DS52" s="399"/>
      <c r="DT52" s="399"/>
      <c r="DU52" s="399"/>
      <c r="DV52" s="399">
        <v>22.413456915019921</v>
      </c>
      <c r="DW52" s="399">
        <v>0</v>
      </c>
      <c r="DX52" s="399">
        <v>0</v>
      </c>
      <c r="DY52" s="399">
        <v>-14.4846</v>
      </c>
      <c r="DZ52" s="399">
        <v>0.99899999999999878</v>
      </c>
      <c r="EA52" s="399">
        <v>0</v>
      </c>
      <c r="EB52" s="399">
        <v>0</v>
      </c>
      <c r="EC52" s="399">
        <v>-13.673698810717537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227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956</v>
      </c>
      <c r="C53" s="399" t="s">
        <v>2328</v>
      </c>
      <c r="D53" s="399" t="s">
        <v>1823</v>
      </c>
      <c r="E53" s="399" t="s">
        <v>889</v>
      </c>
      <c r="F53" s="399" t="s">
        <v>2331</v>
      </c>
      <c r="G53" s="399" t="s">
        <v>1239</v>
      </c>
      <c r="H53" s="399" t="s">
        <v>1239</v>
      </c>
      <c r="I53" s="399" t="s">
        <v>1239</v>
      </c>
      <c r="J53" s="399" t="s">
        <v>2329</v>
      </c>
      <c r="K53" s="789">
        <v>44531</v>
      </c>
      <c r="L53" s="399">
        <v>0</v>
      </c>
      <c r="M53" s="399">
        <v>0</v>
      </c>
      <c r="N53" s="399">
        <v>0.21</v>
      </c>
      <c r="O53" s="399">
        <v>0.21</v>
      </c>
      <c r="P53" s="399">
        <v>0.21</v>
      </c>
      <c r="Q53" s="399">
        <v>0.21</v>
      </c>
      <c r="R53" s="399"/>
      <c r="S53" s="399">
        <v>355.1</v>
      </c>
      <c r="T53" s="399">
        <v>205.96</v>
      </c>
      <c r="U53" s="399"/>
      <c r="V53" s="399">
        <v>117.82259999999999</v>
      </c>
      <c r="W53" s="399">
        <v>117.82259999999999</v>
      </c>
      <c r="X53" s="399">
        <v>86.356200000000001</v>
      </c>
      <c r="Y53" s="399">
        <v>0</v>
      </c>
      <c r="Z53" s="399">
        <v>0</v>
      </c>
      <c r="AA53" s="399">
        <v>0</v>
      </c>
      <c r="AB53" s="399">
        <v>0</v>
      </c>
      <c r="AC53" s="399">
        <v>0</v>
      </c>
      <c r="AD53" s="399">
        <v>17.023077912299026</v>
      </c>
      <c r="AE53" s="399">
        <v>52.298066135046483</v>
      </c>
      <c r="AF53" s="399">
        <v>42.196515200018965</v>
      </c>
      <c r="AG53" s="399">
        <v>1.0559537111175297</v>
      </c>
      <c r="AH53" s="399">
        <v>0</v>
      </c>
      <c r="AI53" s="399">
        <v>0</v>
      </c>
      <c r="AJ53" s="399">
        <v>0</v>
      </c>
      <c r="AK53" s="399">
        <v>0</v>
      </c>
      <c r="AL53" s="399">
        <v>0</v>
      </c>
      <c r="AM53" s="399"/>
      <c r="AN53" s="399">
        <v>0.22721016375144781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5.0216178583227302</v>
      </c>
      <c r="BH53" s="399">
        <v>0</v>
      </c>
      <c r="BI53" s="399">
        <v>0.12</v>
      </c>
      <c r="BJ53" s="399">
        <v>0.51</v>
      </c>
      <c r="BK53" s="399">
        <v>7.14</v>
      </c>
      <c r="BL53" s="399">
        <v>0</v>
      </c>
      <c r="BM53" s="399"/>
      <c r="BN53" s="399"/>
      <c r="BO53" s="399"/>
      <c r="BP53" s="399"/>
      <c r="BQ53" s="399"/>
      <c r="BR53" s="399"/>
      <c r="BS53" s="399"/>
      <c r="BT53" s="399">
        <v>34.540799999999997</v>
      </c>
      <c r="BU53" s="399"/>
      <c r="BV53" s="399">
        <v>47.218133058341692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51.815399999999997</v>
      </c>
      <c r="CJ53" s="399">
        <v>-18.908999999999992</v>
      </c>
      <c r="CK53" s="399"/>
      <c r="CL53" s="399"/>
      <c r="CM53" s="399"/>
      <c r="CN53" s="399"/>
      <c r="CO53" s="399">
        <v>-33.797400000000003</v>
      </c>
      <c r="CP53" s="399">
        <v>2.3309999999999986</v>
      </c>
      <c r="CQ53" s="399"/>
      <c r="CR53" s="399">
        <v>0.43978176793623902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-2.1267241394692658</v>
      </c>
      <c r="DA53" s="399">
        <v>0</v>
      </c>
      <c r="DB53" s="399">
        <v>0</v>
      </c>
      <c r="DC53" s="399">
        <v>2.3303950782783289</v>
      </c>
      <c r="DD53" s="399">
        <v>0</v>
      </c>
      <c r="DE53" s="399">
        <v>0</v>
      </c>
      <c r="DF53" s="399">
        <v>0</v>
      </c>
      <c r="DG53" s="399">
        <v>0.27732985737233662</v>
      </c>
      <c r="DH53" s="399">
        <v>0</v>
      </c>
      <c r="DI53" s="399">
        <v>0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0</v>
      </c>
      <c r="DP53" s="399">
        <v>-4.1219028245150308E-2</v>
      </c>
      <c r="DQ53" s="399">
        <v>0</v>
      </c>
      <c r="DR53" s="399">
        <v>0</v>
      </c>
      <c r="DS53" s="399"/>
      <c r="DT53" s="399"/>
      <c r="DU53" s="399"/>
      <c r="DV53" s="399">
        <v>52.298066135046483</v>
      </c>
      <c r="DW53" s="399">
        <v>0</v>
      </c>
      <c r="DX53" s="399">
        <v>0</v>
      </c>
      <c r="DY53" s="399">
        <v>-33.797400000000003</v>
      </c>
      <c r="DZ53" s="399">
        <v>2.330999999999996</v>
      </c>
      <c r="EA53" s="399">
        <v>0</v>
      </c>
      <c r="EB53" s="399">
        <v>0</v>
      </c>
      <c r="EC53" s="399">
        <v>-31.905297225007587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227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2328</v>
      </c>
      <c r="D54" s="399" t="s">
        <v>1823</v>
      </c>
      <c r="E54" s="399" t="s">
        <v>889</v>
      </c>
      <c r="F54" s="399" t="s">
        <v>2332</v>
      </c>
      <c r="G54" s="399" t="s">
        <v>1239</v>
      </c>
      <c r="H54" s="399" t="s">
        <v>1239</v>
      </c>
      <c r="I54" s="399" t="s">
        <v>1239</v>
      </c>
      <c r="J54" s="399" t="s">
        <v>2329</v>
      </c>
      <c r="K54" s="789">
        <v>44531</v>
      </c>
      <c r="L54" s="399">
        <v>0</v>
      </c>
      <c r="M54" s="399">
        <v>0</v>
      </c>
      <c r="N54" s="399">
        <v>0.307</v>
      </c>
      <c r="O54" s="399">
        <v>0.307</v>
      </c>
      <c r="P54" s="399">
        <v>0.307</v>
      </c>
      <c r="Q54" s="399">
        <v>0.307</v>
      </c>
      <c r="R54" s="399"/>
      <c r="S54" s="399">
        <v>355.1</v>
      </c>
      <c r="T54" s="399">
        <v>205.96</v>
      </c>
      <c r="U54" s="399"/>
      <c r="V54" s="399">
        <v>172.24542000000002</v>
      </c>
      <c r="W54" s="399">
        <v>172.24542000000002</v>
      </c>
      <c r="X54" s="399">
        <v>126.24454</v>
      </c>
      <c r="Y54" s="399">
        <v>0</v>
      </c>
      <c r="Z54" s="399">
        <v>0</v>
      </c>
      <c r="AA54" s="399">
        <v>0</v>
      </c>
      <c r="AB54" s="399">
        <v>0</v>
      </c>
      <c r="AC54" s="399">
        <v>0</v>
      </c>
      <c r="AD54" s="399">
        <v>24.886118662265719</v>
      </c>
      <c r="AE54" s="399">
        <v>76.454791921234616</v>
      </c>
      <c r="AF54" s="399">
        <v>61.687286506694399</v>
      </c>
      <c r="AG54" s="399">
        <v>1.5437037586337219</v>
      </c>
      <c r="AH54" s="399">
        <v>0</v>
      </c>
      <c r="AI54" s="399">
        <v>0</v>
      </c>
      <c r="AJ54" s="399">
        <v>0</v>
      </c>
      <c r="AK54" s="399">
        <v>0</v>
      </c>
      <c r="AL54" s="399">
        <v>0</v>
      </c>
      <c r="AM54" s="399"/>
      <c r="AN54" s="399">
        <v>0.33215962034140228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7.3411270595479907</v>
      </c>
      <c r="BH54" s="399">
        <v>0</v>
      </c>
      <c r="BI54" s="399">
        <v>0.25</v>
      </c>
      <c r="BJ54" s="399">
        <v>1.24</v>
      </c>
      <c r="BK54" s="399">
        <v>28.21</v>
      </c>
      <c r="BL54" s="399">
        <v>2</v>
      </c>
      <c r="BM54" s="399"/>
      <c r="BN54" s="399"/>
      <c r="BO54" s="399"/>
      <c r="BP54" s="399"/>
      <c r="BQ54" s="399"/>
      <c r="BR54" s="399"/>
      <c r="BS54" s="399"/>
      <c r="BT54" s="399">
        <v>12.620769999999997</v>
      </c>
      <c r="BU54" s="399"/>
      <c r="BV54" s="399">
        <v>69.028413566242392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114.73410000000001</v>
      </c>
      <c r="CJ54" s="399">
        <v>-40.318619999999981</v>
      </c>
      <c r="CK54" s="399"/>
      <c r="CL54" s="399"/>
      <c r="CM54" s="399"/>
      <c r="CN54" s="399"/>
      <c r="CO54" s="399">
        <v>-49.408580000000008</v>
      </c>
      <c r="CP54" s="399">
        <v>3.4076999999999984</v>
      </c>
      <c r="CQ54" s="399"/>
      <c r="CR54" s="399">
        <v>0.64291906074488736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-3.1090681467479264</v>
      </c>
      <c r="DA54" s="399">
        <v>0</v>
      </c>
      <c r="DB54" s="399">
        <v>0</v>
      </c>
      <c r="DC54" s="399">
        <v>3.4068156620545054</v>
      </c>
      <c r="DD54" s="399">
        <v>0</v>
      </c>
      <c r="DE54" s="399">
        <v>0</v>
      </c>
      <c r="DF54" s="399">
        <v>0</v>
      </c>
      <c r="DG54" s="399">
        <v>0.40542983911098851</v>
      </c>
      <c r="DH54" s="399">
        <v>0</v>
      </c>
      <c r="DI54" s="399">
        <v>0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</v>
      </c>
      <c r="DP54" s="399">
        <v>-6.0258293672672103E-2</v>
      </c>
      <c r="DQ54" s="399">
        <v>0</v>
      </c>
      <c r="DR54" s="399">
        <v>0</v>
      </c>
      <c r="DS54" s="399"/>
      <c r="DT54" s="399"/>
      <c r="DU54" s="399"/>
      <c r="DV54" s="399">
        <v>76.454791921234616</v>
      </c>
      <c r="DW54" s="399">
        <v>0</v>
      </c>
      <c r="DX54" s="399">
        <v>0</v>
      </c>
      <c r="DY54" s="399">
        <v>-49.408580000000015</v>
      </c>
      <c r="DZ54" s="399">
        <v>3.4077000000000055</v>
      </c>
      <c r="EA54" s="399">
        <v>0</v>
      </c>
      <c r="EB54" s="399">
        <v>0</v>
      </c>
      <c r="EC54" s="399">
        <v>-46.642505943225373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227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956</v>
      </c>
      <c r="C55" s="399" t="s">
        <v>2328</v>
      </c>
      <c r="D55" s="399" t="s">
        <v>1823</v>
      </c>
      <c r="E55" s="399" t="s">
        <v>889</v>
      </c>
      <c r="F55" s="399" t="s">
        <v>2333</v>
      </c>
      <c r="G55" s="399" t="s">
        <v>1239</v>
      </c>
      <c r="H55" s="399" t="s">
        <v>1239</v>
      </c>
      <c r="I55" s="399" t="s">
        <v>1239</v>
      </c>
      <c r="J55" s="399" t="s">
        <v>2329</v>
      </c>
      <c r="K55" s="789">
        <v>44531</v>
      </c>
      <c r="L55" s="399">
        <v>0</v>
      </c>
      <c r="M55" s="399">
        <v>0</v>
      </c>
      <c r="N55" s="399">
        <v>0.106</v>
      </c>
      <c r="O55" s="399">
        <v>0.106</v>
      </c>
      <c r="P55" s="399">
        <v>0.106</v>
      </c>
      <c r="Q55" s="399">
        <v>0.106</v>
      </c>
      <c r="R55" s="399"/>
      <c r="S55" s="399">
        <v>355.1</v>
      </c>
      <c r="T55" s="399">
        <v>205.96</v>
      </c>
      <c r="U55" s="399"/>
      <c r="V55" s="399">
        <v>59.472359999999995</v>
      </c>
      <c r="W55" s="399">
        <v>59.472359999999995</v>
      </c>
      <c r="X55" s="399">
        <v>43.589320000000001</v>
      </c>
      <c r="Y55" s="399">
        <v>0</v>
      </c>
      <c r="Z55" s="399">
        <v>0</v>
      </c>
      <c r="AA55" s="399">
        <v>0</v>
      </c>
      <c r="AB55" s="399">
        <v>0</v>
      </c>
      <c r="AC55" s="399">
        <v>0</v>
      </c>
      <c r="AD55" s="399">
        <v>8.5926012319223641</v>
      </c>
      <c r="AE55" s="399">
        <v>26.398071477690127</v>
      </c>
      <c r="AF55" s="399">
        <v>21.29919338667624</v>
      </c>
      <c r="AG55" s="399">
        <v>0.53300520656408634</v>
      </c>
      <c r="AH55" s="399">
        <v>0</v>
      </c>
      <c r="AI55" s="399">
        <v>0</v>
      </c>
      <c r="AJ55" s="399">
        <v>0</v>
      </c>
      <c r="AK55" s="399">
        <v>0</v>
      </c>
      <c r="AL55" s="399">
        <v>0</v>
      </c>
      <c r="AM55" s="399"/>
      <c r="AN55" s="399">
        <v>0.11468703503644509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2.5347213951533778</v>
      </c>
      <c r="BH55" s="399">
        <v>0</v>
      </c>
      <c r="BI55" s="399">
        <v>0.11</v>
      </c>
      <c r="BJ55" s="399">
        <v>0.55000000000000004</v>
      </c>
      <c r="BK55" s="399">
        <v>15.95</v>
      </c>
      <c r="BL55" s="399">
        <v>1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23.83391478182962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45.234200000000001</v>
      </c>
      <c r="CJ55" s="399">
        <v>-14.268159999999988</v>
      </c>
      <c r="CK55" s="399"/>
      <c r="CL55" s="399"/>
      <c r="CM55" s="399"/>
      <c r="CN55" s="399"/>
      <c r="CO55" s="399">
        <v>-17.059640000000002</v>
      </c>
      <c r="CP55" s="399">
        <v>1.1765999999999994</v>
      </c>
      <c r="CQ55" s="399"/>
      <c r="CR55" s="399">
        <v>0.22198508286306406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-1.073489327541628</v>
      </c>
      <c r="DA55" s="399">
        <v>0</v>
      </c>
      <c r="DB55" s="399">
        <v>0</v>
      </c>
      <c r="DC55" s="399">
        <v>1.176294658559538</v>
      </c>
      <c r="DD55" s="399">
        <v>0</v>
      </c>
      <c r="DE55" s="399">
        <v>0</v>
      </c>
      <c r="DF55" s="399">
        <v>0</v>
      </c>
      <c r="DG55" s="399">
        <v>0.13998554705460853</v>
      </c>
      <c r="DH55" s="399">
        <v>0</v>
      </c>
      <c r="DI55" s="399">
        <v>0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0</v>
      </c>
      <c r="DP55" s="399">
        <v>-2.0805795209456829E-2</v>
      </c>
      <c r="DQ55" s="399">
        <v>0</v>
      </c>
      <c r="DR55" s="399">
        <v>0</v>
      </c>
      <c r="DS55" s="399"/>
      <c r="DT55" s="399"/>
      <c r="DU55" s="399"/>
      <c r="DV55" s="399">
        <v>26.398071477690127</v>
      </c>
      <c r="DW55" s="399">
        <v>0</v>
      </c>
      <c r="DX55" s="399">
        <v>0</v>
      </c>
      <c r="DY55" s="399">
        <v>-17.059640000000002</v>
      </c>
      <c r="DZ55" s="399">
        <v>1.1766000000000005</v>
      </c>
      <c r="EA55" s="399">
        <v>0</v>
      </c>
      <c r="EB55" s="399">
        <v>0</v>
      </c>
      <c r="EC55" s="399">
        <v>-16.104578599289542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227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2328</v>
      </c>
      <c r="D56" s="399" t="s">
        <v>1826</v>
      </c>
      <c r="E56" s="399" t="s">
        <v>890</v>
      </c>
      <c r="F56" s="399" t="s">
        <v>1239</v>
      </c>
      <c r="G56" s="399" t="s">
        <v>1239</v>
      </c>
      <c r="H56" s="399" t="s">
        <v>1239</v>
      </c>
      <c r="I56" s="399" t="s">
        <v>1239</v>
      </c>
      <c r="J56" s="399" t="s">
        <v>2329</v>
      </c>
      <c r="K56" s="789">
        <v>44531</v>
      </c>
      <c r="L56" s="399">
        <v>0</v>
      </c>
      <c r="M56" s="399">
        <v>0</v>
      </c>
      <c r="N56" s="399">
        <v>76.965999999999994</v>
      </c>
      <c r="O56" s="399">
        <v>76.965999999999994</v>
      </c>
      <c r="P56" s="399">
        <v>76.965999999999994</v>
      </c>
      <c r="Q56" s="399">
        <v>76.965999999999994</v>
      </c>
      <c r="R56" s="399"/>
      <c r="S56" s="399">
        <v>425.49</v>
      </c>
      <c r="T56" s="399">
        <v>205.96</v>
      </c>
      <c r="U56" s="399"/>
      <c r="V56" s="399">
        <v>48600.180699999997</v>
      </c>
      <c r="W56" s="399">
        <v>48600.180699999997</v>
      </c>
      <c r="X56" s="399">
        <v>36372.592279999997</v>
      </c>
      <c r="Y56" s="399">
        <v>0</v>
      </c>
      <c r="Z56" s="399">
        <v>4692.9328688924315</v>
      </c>
      <c r="AA56" s="399">
        <v>0</v>
      </c>
      <c r="AB56" s="399">
        <v>0</v>
      </c>
      <c r="AC56" s="399">
        <v>0</v>
      </c>
      <c r="AD56" s="399">
        <v>6239.0391171333649</v>
      </c>
      <c r="AE56" s="399">
        <v>19167.4902769047</v>
      </c>
      <c r="AF56" s="399">
        <v>15465.223756593618</v>
      </c>
      <c r="AG56" s="399">
        <v>387.01206347557991</v>
      </c>
      <c r="AH56" s="399">
        <v>0</v>
      </c>
      <c r="AI56" s="399">
        <v>0</v>
      </c>
      <c r="AJ56" s="399">
        <v>0</v>
      </c>
      <c r="AK56" s="399">
        <v>0</v>
      </c>
      <c r="AL56" s="399">
        <v>725.26376228552863</v>
      </c>
      <c r="AM56" s="399"/>
      <c r="AN56" s="399">
        <v>83.273606968066346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1840.4468575412725</v>
      </c>
      <c r="BH56" s="399">
        <v>0</v>
      </c>
      <c r="BI56" s="399">
        <v>214.29</v>
      </c>
      <c r="BJ56" s="399">
        <v>989.78</v>
      </c>
      <c r="BK56" s="399">
        <v>16168.34</v>
      </c>
      <c r="BL56" s="399">
        <v>42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17305.670614134891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36374.482600000003</v>
      </c>
      <c r="CJ56" s="399">
        <v>-12225.728099999993</v>
      </c>
      <c r="CK56" s="399"/>
      <c r="CL56" s="399"/>
      <c r="CM56" s="399"/>
      <c r="CN56" s="399"/>
      <c r="CO56" s="399">
        <v>-13081.91102</v>
      </c>
      <c r="CP56" s="399">
        <v>854.32259999999951</v>
      </c>
      <c r="CQ56" s="399"/>
      <c r="CR56" s="399">
        <v>-534.77793745257441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-779.45452437329186</v>
      </c>
      <c r="DA56" s="399">
        <v>0</v>
      </c>
      <c r="DB56" s="399">
        <v>0</v>
      </c>
      <c r="DC56" s="399">
        <v>854.10089330842857</v>
      </c>
      <c r="DD56" s="399">
        <v>0</v>
      </c>
      <c r="DE56" s="399">
        <v>0</v>
      </c>
      <c r="DF56" s="399">
        <v>0</v>
      </c>
      <c r="DG56" s="399">
        <v>101.64271334532987</v>
      </c>
      <c r="DH56" s="399">
        <v>0</v>
      </c>
      <c r="DI56" s="399">
        <v>-614.98540417177082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-80.974645428335748</v>
      </c>
      <c r="DP56" s="399">
        <v>-15.106970132934478</v>
      </c>
      <c r="DQ56" s="399">
        <v>0</v>
      </c>
      <c r="DR56" s="399">
        <v>0</v>
      </c>
      <c r="DS56" s="399"/>
      <c r="DT56" s="399"/>
      <c r="DU56" s="399"/>
      <c r="DV56" s="399">
        <v>19167.4902769047</v>
      </c>
      <c r="DW56" s="399">
        <v>0</v>
      </c>
      <c r="DX56" s="399">
        <v>0</v>
      </c>
      <c r="DY56" s="399">
        <v>-13081.91102</v>
      </c>
      <c r="DZ56" s="399">
        <v>854.32259999999951</v>
      </c>
      <c r="EA56" s="399">
        <v>0</v>
      </c>
      <c r="EB56" s="399">
        <v>0</v>
      </c>
      <c r="EC56" s="399">
        <v>-11693.443362952064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227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2334</v>
      </c>
      <c r="D57" s="399" t="s">
        <v>533</v>
      </c>
      <c r="E57" s="399" t="s">
        <v>890</v>
      </c>
      <c r="F57" s="399" t="s">
        <v>1239</v>
      </c>
      <c r="G57" s="399" t="s">
        <v>1239</v>
      </c>
      <c r="H57" s="399" t="s">
        <v>1239</v>
      </c>
      <c r="I57" s="399" t="s">
        <v>893</v>
      </c>
      <c r="J57" s="399" t="s">
        <v>2329</v>
      </c>
      <c r="K57" s="789">
        <v>44531</v>
      </c>
      <c r="L57" s="399">
        <v>0</v>
      </c>
      <c r="M57" s="399">
        <v>0</v>
      </c>
      <c r="N57" s="399">
        <v>10.605</v>
      </c>
      <c r="O57" s="399">
        <v>10.605</v>
      </c>
      <c r="P57" s="399">
        <v>10.605</v>
      </c>
      <c r="Q57" s="399">
        <v>10.605</v>
      </c>
      <c r="R57" s="399"/>
      <c r="S57" s="399">
        <v>2109.83</v>
      </c>
      <c r="T57" s="399">
        <v>205.96</v>
      </c>
      <c r="U57" s="399"/>
      <c r="V57" s="399">
        <v>24558.952949999999</v>
      </c>
      <c r="W57" s="399">
        <v>24558.952949999999</v>
      </c>
      <c r="X57" s="399">
        <v>14492.3688</v>
      </c>
      <c r="Y57" s="399">
        <v>0</v>
      </c>
      <c r="Z57" s="399">
        <v>562.56842209424531</v>
      </c>
      <c r="AA57" s="399">
        <v>0</v>
      </c>
      <c r="AB57" s="399">
        <v>0</v>
      </c>
      <c r="AC57" s="399">
        <v>0</v>
      </c>
      <c r="AD57" s="399">
        <v>6345.7780506186964</v>
      </c>
      <c r="AE57" s="399">
        <v>15261.972525731075</v>
      </c>
      <c r="AF57" s="399">
        <v>2130.924017600958</v>
      </c>
      <c r="AG57" s="399">
        <v>53.325662411435246</v>
      </c>
      <c r="AH57" s="399">
        <v>0</v>
      </c>
      <c r="AI57" s="399">
        <v>0</v>
      </c>
      <c r="AJ57" s="399">
        <v>0</v>
      </c>
      <c r="AK57" s="399">
        <v>0</v>
      </c>
      <c r="AL57" s="399">
        <v>99.932726126315927</v>
      </c>
      <c r="AM57" s="399"/>
      <c r="AN57" s="399">
        <v>6.5482977591142992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97.910957805579258</v>
      </c>
      <c r="BH57" s="399">
        <v>0</v>
      </c>
      <c r="BI57" s="399">
        <v>0</v>
      </c>
      <c r="BJ57" s="399">
        <v>0</v>
      </c>
      <c r="BK57" s="399">
        <v>0</v>
      </c>
      <c r="BL57" s="399">
        <v>0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2228.8349754065371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14499.2016</v>
      </c>
      <c r="CJ57" s="399">
        <v>-10059.781349999994</v>
      </c>
      <c r="CK57" s="399"/>
      <c r="CL57" s="399"/>
      <c r="CM57" s="399"/>
      <c r="CN57" s="399"/>
      <c r="CO57" s="399">
        <v>-10184.299649999999</v>
      </c>
      <c r="CP57" s="399">
        <v>117.71549999999995</v>
      </c>
      <c r="CQ57" s="399"/>
      <c r="CR57" s="399">
        <v>-755.76439023630519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-792.78961381093177</v>
      </c>
      <c r="DA57" s="399">
        <v>0</v>
      </c>
      <c r="DB57" s="399">
        <v>0</v>
      </c>
      <c r="DC57" s="399">
        <v>117.68495145305542</v>
      </c>
      <c r="DD57" s="399">
        <v>0</v>
      </c>
      <c r="DE57" s="399">
        <v>0</v>
      </c>
      <c r="DF57" s="399">
        <v>0</v>
      </c>
      <c r="DG57" s="399">
        <v>5.407347338946721</v>
      </c>
      <c r="DH57" s="399">
        <v>0</v>
      </c>
      <c r="DI57" s="399">
        <v>-73.721780835436334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-11.157343694196143</v>
      </c>
      <c r="DP57" s="399">
        <v>-1.1879506877423633</v>
      </c>
      <c r="DQ57" s="399">
        <v>0</v>
      </c>
      <c r="DR57" s="399">
        <v>0</v>
      </c>
      <c r="DS57" s="399"/>
      <c r="DT57" s="399"/>
      <c r="DU57" s="399"/>
      <c r="DV57" s="399">
        <v>15261.972525731075</v>
      </c>
      <c r="DW57" s="399">
        <v>0</v>
      </c>
      <c r="DX57" s="399">
        <v>0</v>
      </c>
      <c r="DY57" s="399">
        <v>-10184.299649999999</v>
      </c>
      <c r="DZ57" s="399">
        <v>117.71549999999979</v>
      </c>
      <c r="EA57" s="399">
        <v>0</v>
      </c>
      <c r="EB57" s="399">
        <v>0</v>
      </c>
      <c r="EC57" s="399">
        <v>-9310.8178879111056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227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2334</v>
      </c>
      <c r="D58" s="399" t="s">
        <v>533</v>
      </c>
      <c r="E58" s="399" t="s">
        <v>890</v>
      </c>
      <c r="F58" s="399" t="s">
        <v>1239</v>
      </c>
      <c r="G58" s="399" t="s">
        <v>1239</v>
      </c>
      <c r="H58" s="399" t="s">
        <v>1239</v>
      </c>
      <c r="I58" s="399" t="s">
        <v>2326</v>
      </c>
      <c r="J58" s="399" t="s">
        <v>2329</v>
      </c>
      <c r="K58" s="789">
        <v>44531</v>
      </c>
      <c r="L58" s="399">
        <v>0</v>
      </c>
      <c r="M58" s="399">
        <v>0</v>
      </c>
      <c r="N58" s="399">
        <v>338.55</v>
      </c>
      <c r="O58" s="399">
        <v>338.55</v>
      </c>
      <c r="P58" s="399">
        <v>338.55</v>
      </c>
      <c r="Q58" s="399">
        <v>338.55</v>
      </c>
      <c r="R58" s="399"/>
      <c r="S58" s="399">
        <v>72.319999999999993</v>
      </c>
      <c r="T58" s="399">
        <v>205.96</v>
      </c>
      <c r="U58" s="399"/>
      <c r="V58" s="399">
        <v>94211.694000000003</v>
      </c>
      <c r="W58" s="399">
        <v>94211.694000000003</v>
      </c>
      <c r="X58" s="399">
        <v>95393.233500000002</v>
      </c>
      <c r="Y58" s="399">
        <v>0</v>
      </c>
      <c r="Z58" s="399">
        <v>17959.221056106246</v>
      </c>
      <c r="AA58" s="399">
        <v>0</v>
      </c>
      <c r="AB58" s="399">
        <v>0</v>
      </c>
      <c r="AC58" s="399">
        <v>0</v>
      </c>
      <c r="AD58" s="399">
        <v>0</v>
      </c>
      <c r="AE58" s="399">
        <v>0</v>
      </c>
      <c r="AF58" s="399">
        <v>68026.810576030577</v>
      </c>
      <c r="AG58" s="399">
        <v>1702.3482328516175</v>
      </c>
      <c r="AH58" s="399">
        <v>0</v>
      </c>
      <c r="AI58" s="399">
        <v>0</v>
      </c>
      <c r="AJ58" s="399">
        <v>0</v>
      </c>
      <c r="AK58" s="399">
        <v>0</v>
      </c>
      <c r="AL58" s="399">
        <v>3190.2144677099727</v>
      </c>
      <c r="AM58" s="399"/>
      <c r="AN58" s="399">
        <v>209.04537542179594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3125.6723022233718</v>
      </c>
      <c r="BH58" s="399">
        <v>0</v>
      </c>
      <c r="BI58" s="399">
        <v>0</v>
      </c>
      <c r="BJ58" s="399">
        <v>0</v>
      </c>
      <c r="BK58" s="399">
        <v>0</v>
      </c>
      <c r="BL58" s="399">
        <v>0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71152.482878253955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95393.233500000002</v>
      </c>
      <c r="CJ58" s="399">
        <v>1181.5095000000147</v>
      </c>
      <c r="CK58" s="399"/>
      <c r="CL58" s="399"/>
      <c r="CM58" s="399"/>
      <c r="CN58" s="399"/>
      <c r="CO58" s="399">
        <v>-2576.3654999999999</v>
      </c>
      <c r="CP58" s="399">
        <v>3757.9049999999984</v>
      </c>
      <c r="CQ58" s="399"/>
      <c r="CR58" s="399">
        <v>1181.9792023753253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0</v>
      </c>
      <c r="DA58" s="399">
        <v>0</v>
      </c>
      <c r="DB58" s="399">
        <v>0</v>
      </c>
      <c r="DC58" s="399">
        <v>3756.9297797672771</v>
      </c>
      <c r="DD58" s="399">
        <v>0</v>
      </c>
      <c r="DE58" s="399">
        <v>0</v>
      </c>
      <c r="DF58" s="399">
        <v>0</v>
      </c>
      <c r="DG58" s="399">
        <v>172.62210670442346</v>
      </c>
      <c r="DH58" s="399">
        <v>0</v>
      </c>
      <c r="DI58" s="399">
        <v>-2353.4661859346506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-356.18281071853926</v>
      </c>
      <c r="DP58" s="399">
        <v>-37.923687443203875</v>
      </c>
      <c r="DQ58" s="399">
        <v>0</v>
      </c>
      <c r="DR58" s="399">
        <v>0</v>
      </c>
      <c r="DS58" s="399"/>
      <c r="DT58" s="399"/>
      <c r="DU58" s="399"/>
      <c r="DV58" s="399">
        <v>0</v>
      </c>
      <c r="DW58" s="399">
        <v>0</v>
      </c>
      <c r="DX58" s="399">
        <v>0</v>
      </c>
      <c r="DY58" s="399">
        <v>-2576.3654999999999</v>
      </c>
      <c r="DZ58" s="399">
        <v>3757.9049999999988</v>
      </c>
      <c r="EA58" s="399">
        <v>0</v>
      </c>
      <c r="EB58" s="399">
        <v>0</v>
      </c>
      <c r="EC58" s="399">
        <v>0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227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956</v>
      </c>
      <c r="C59" s="399" t="s">
        <v>2334</v>
      </c>
      <c r="D59" s="399" t="s">
        <v>533</v>
      </c>
      <c r="E59" s="399" t="s">
        <v>890</v>
      </c>
      <c r="F59" s="399" t="s">
        <v>1239</v>
      </c>
      <c r="G59" s="399" t="s">
        <v>1239</v>
      </c>
      <c r="H59" s="399" t="s">
        <v>1239</v>
      </c>
      <c r="I59" s="399" t="s">
        <v>1239</v>
      </c>
      <c r="J59" s="399" t="s">
        <v>2329</v>
      </c>
      <c r="K59" s="789">
        <v>44531</v>
      </c>
      <c r="L59" s="399">
        <v>2241</v>
      </c>
      <c r="M59" s="399">
        <v>2241</v>
      </c>
      <c r="N59" s="399">
        <v>0</v>
      </c>
      <c r="O59" s="399">
        <v>0</v>
      </c>
      <c r="P59" s="399">
        <v>0</v>
      </c>
      <c r="Q59" s="399">
        <v>0</v>
      </c>
      <c r="R59" s="399">
        <v>26.79</v>
      </c>
      <c r="S59" s="399"/>
      <c r="T59" s="399"/>
      <c r="U59" s="399">
        <v>60036.39</v>
      </c>
      <c r="V59" s="399"/>
      <c r="W59" s="399">
        <v>60036.39</v>
      </c>
      <c r="X59" s="399">
        <v>34354.53</v>
      </c>
      <c r="Y59" s="399">
        <v>0</v>
      </c>
      <c r="Z59" s="399">
        <v>0</v>
      </c>
      <c r="AA59" s="399">
        <v>0</v>
      </c>
      <c r="AB59" s="399">
        <v>0</v>
      </c>
      <c r="AC59" s="399">
        <v>0</v>
      </c>
      <c r="AD59" s="399">
        <v>22572.658573882829</v>
      </c>
      <c r="AE59" s="399">
        <v>37471.397545450498</v>
      </c>
      <c r="AF59" s="399"/>
      <c r="AG59" s="399"/>
      <c r="AH59" s="399"/>
      <c r="AI59" s="399">
        <v>0</v>
      </c>
      <c r="AJ59" s="399">
        <v>0</v>
      </c>
      <c r="AK59" s="399">
        <v>0</v>
      </c>
      <c r="AL59" s="399">
        <v>0</v>
      </c>
      <c r="AM59" s="399"/>
      <c r="AN59" s="399">
        <v>0</v>
      </c>
      <c r="AO59" s="399">
        <v>0</v>
      </c>
      <c r="AP59" s="399">
        <v>0</v>
      </c>
      <c r="AQ59" s="399">
        <v>0</v>
      </c>
      <c r="AR59" s="399">
        <v>0</v>
      </c>
      <c r="AS59" s="399"/>
      <c r="AT59" s="399"/>
      <c r="AU59" s="399">
        <v>0</v>
      </c>
      <c r="AV59" s="399">
        <v>0</v>
      </c>
      <c r="AW59" s="399">
        <v>0</v>
      </c>
      <c r="AX59" s="399"/>
      <c r="AY59" s="399"/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/>
      <c r="BG59" s="399">
        <v>0</v>
      </c>
      <c r="BH59" s="399">
        <v>0</v>
      </c>
      <c r="BI59" s="399">
        <v>497.29</v>
      </c>
      <c r="BJ59" s="399">
        <v>2293.41</v>
      </c>
      <c r="BK59" s="399">
        <v>65278.26</v>
      </c>
      <c r="BL59" s="399">
        <v>12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0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34354.53</v>
      </c>
      <c r="CJ59" s="399">
        <v>-25681.890000000007</v>
      </c>
      <c r="CK59" s="399"/>
      <c r="CL59" s="399"/>
      <c r="CM59" s="399"/>
      <c r="CN59" s="399"/>
      <c r="CO59" s="399">
        <v>-25681.859999999997</v>
      </c>
      <c r="CP59" s="399">
        <v>0</v>
      </c>
      <c r="CQ59" s="399"/>
      <c r="CR59" s="399">
        <v>-2820.0433628040773</v>
      </c>
      <c r="CS59" s="399">
        <v>0</v>
      </c>
      <c r="CT59" s="399">
        <v>0</v>
      </c>
      <c r="CU59" s="399">
        <v>0</v>
      </c>
      <c r="CV59" s="399">
        <v>0</v>
      </c>
      <c r="CW59" s="399"/>
      <c r="CX59" s="399"/>
      <c r="CY59" s="399"/>
      <c r="CZ59" s="399">
        <v>-2820.0433628040773</v>
      </c>
      <c r="DA59" s="399">
        <v>0</v>
      </c>
      <c r="DB59" s="399">
        <v>0</v>
      </c>
      <c r="DC59" s="399"/>
      <c r="DD59" s="399"/>
      <c r="DE59" s="399">
        <v>0</v>
      </c>
      <c r="DF59" s="399">
        <v>0</v>
      </c>
      <c r="DG59" s="399">
        <v>0</v>
      </c>
      <c r="DH59" s="399">
        <v>0</v>
      </c>
      <c r="DI59" s="399">
        <v>0</v>
      </c>
      <c r="DJ59" s="399"/>
      <c r="DK59" s="399">
        <v>0</v>
      </c>
      <c r="DL59" s="399">
        <v>0</v>
      </c>
      <c r="DM59" s="399"/>
      <c r="DN59" s="399">
        <v>0</v>
      </c>
      <c r="DO59" s="399">
        <v>0</v>
      </c>
      <c r="DP59" s="399">
        <v>0</v>
      </c>
      <c r="DQ59" s="399">
        <v>0</v>
      </c>
      <c r="DR59" s="399">
        <v>0</v>
      </c>
      <c r="DS59" s="399"/>
      <c r="DT59" s="399"/>
      <c r="DU59" s="399">
        <v>37471.397545450498</v>
      </c>
      <c r="DV59" s="399"/>
      <c r="DW59" s="399">
        <v>0</v>
      </c>
      <c r="DX59" s="399">
        <v>0</v>
      </c>
      <c r="DY59" s="399">
        <v>-25681.86</v>
      </c>
      <c r="DZ59" s="399"/>
      <c r="EA59" s="399">
        <v>0</v>
      </c>
      <c r="EB59" s="399"/>
      <c r="EC59" s="399">
        <v>-22860.043678036785</v>
      </c>
      <c r="ED59" s="399"/>
      <c r="EE59" s="399">
        <v>0</v>
      </c>
      <c r="EF59" s="399">
        <v>0</v>
      </c>
      <c r="EG59" s="399"/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/>
      <c r="EN59" s="399"/>
      <c r="EO59" s="399">
        <v>0</v>
      </c>
      <c r="EP59" s="399">
        <v>0</v>
      </c>
      <c r="EQ59" s="399"/>
      <c r="ER59" s="399">
        <v>0</v>
      </c>
      <c r="ES59" s="399"/>
      <c r="ET59" s="399">
        <v>0</v>
      </c>
      <c r="EU59" s="399"/>
      <c r="EV59" s="399">
        <v>227</v>
      </c>
      <c r="EW59" s="399"/>
      <c r="EX59" s="399"/>
      <c r="EY59" s="399"/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2328</v>
      </c>
      <c r="D60" s="399" t="s">
        <v>1826</v>
      </c>
      <c r="E60" s="399" t="s">
        <v>918</v>
      </c>
      <c r="F60" s="399" t="s">
        <v>1239</v>
      </c>
      <c r="G60" s="399" t="s">
        <v>1239</v>
      </c>
      <c r="H60" s="399" t="s">
        <v>1239</v>
      </c>
      <c r="I60" s="399" t="s">
        <v>1239</v>
      </c>
      <c r="J60" s="399" t="s">
        <v>2329</v>
      </c>
      <c r="K60" s="789">
        <v>44531</v>
      </c>
      <c r="L60" s="399">
        <v>0</v>
      </c>
      <c r="M60" s="399">
        <v>0</v>
      </c>
      <c r="N60" s="399">
        <v>12.859</v>
      </c>
      <c r="O60" s="399">
        <v>12.859</v>
      </c>
      <c r="P60" s="399">
        <v>12.859</v>
      </c>
      <c r="Q60" s="399">
        <v>12.859</v>
      </c>
      <c r="R60" s="399"/>
      <c r="S60" s="399">
        <v>425.49</v>
      </c>
      <c r="T60" s="399">
        <v>205.96</v>
      </c>
      <c r="U60" s="399"/>
      <c r="V60" s="399">
        <v>8119.8155499999993</v>
      </c>
      <c r="W60" s="399">
        <v>8119.8155499999993</v>
      </c>
      <c r="X60" s="399">
        <v>6076.9062200000008</v>
      </c>
      <c r="Y60" s="399">
        <v>0</v>
      </c>
      <c r="Z60" s="399">
        <v>784.06600006610427</v>
      </c>
      <c r="AA60" s="399">
        <v>0</v>
      </c>
      <c r="AB60" s="399">
        <v>0</v>
      </c>
      <c r="AC60" s="399">
        <v>0</v>
      </c>
      <c r="AD60" s="399">
        <v>1042.3798041631103</v>
      </c>
      <c r="AE60" s="399">
        <v>3202.3849163360128</v>
      </c>
      <c r="AF60" s="399">
        <v>2583.8332807478282</v>
      </c>
      <c r="AG60" s="399">
        <v>64.659565577430058</v>
      </c>
      <c r="AH60" s="399">
        <v>0</v>
      </c>
      <c r="AI60" s="399">
        <v>0</v>
      </c>
      <c r="AJ60" s="399">
        <v>0</v>
      </c>
      <c r="AK60" s="399">
        <v>0</v>
      </c>
      <c r="AL60" s="399">
        <v>121.1725530653745</v>
      </c>
      <c r="AM60" s="399"/>
      <c r="AN60" s="399">
        <v>13.912835693713655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307.49040019129518</v>
      </c>
      <c r="BH60" s="399">
        <v>0</v>
      </c>
      <c r="BI60" s="399">
        <v>49.3</v>
      </c>
      <c r="BJ60" s="399">
        <v>228.93</v>
      </c>
      <c r="BK60" s="399">
        <v>2695.58</v>
      </c>
      <c r="BL60" s="399">
        <v>52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2891.3236809391233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6077.3788000000004</v>
      </c>
      <c r="CJ60" s="399">
        <v>-2042.4667499999996</v>
      </c>
      <c r="CK60" s="399"/>
      <c r="CL60" s="399"/>
      <c r="CM60" s="399"/>
      <c r="CN60" s="399"/>
      <c r="CO60" s="399">
        <v>-2185.6442299999999</v>
      </c>
      <c r="CP60" s="399">
        <v>142.73489999999993</v>
      </c>
      <c r="CQ60" s="399"/>
      <c r="CR60" s="399">
        <v>-89.347367638991273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-130.22640814016791</v>
      </c>
      <c r="DA60" s="399">
        <v>0</v>
      </c>
      <c r="DB60" s="399">
        <v>0</v>
      </c>
      <c r="DC60" s="399">
        <v>142.69785862657636</v>
      </c>
      <c r="DD60" s="399">
        <v>0</v>
      </c>
      <c r="DE60" s="399">
        <v>0</v>
      </c>
      <c r="DF60" s="399">
        <v>0</v>
      </c>
      <c r="DG60" s="399">
        <v>16.98183159976611</v>
      </c>
      <c r="DH60" s="399">
        <v>0</v>
      </c>
      <c r="DI60" s="399">
        <v>-102.74793171328633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-13.528739515668875</v>
      </c>
      <c r="DP60" s="399">
        <v>-2.5239784962113703</v>
      </c>
      <c r="DQ60" s="399">
        <v>0</v>
      </c>
      <c r="DR60" s="399">
        <v>0</v>
      </c>
      <c r="DS60" s="399"/>
      <c r="DT60" s="399"/>
      <c r="DU60" s="399"/>
      <c r="DV60" s="399">
        <v>3202.3849163360128</v>
      </c>
      <c r="DW60" s="399">
        <v>0</v>
      </c>
      <c r="DX60" s="399">
        <v>0</v>
      </c>
      <c r="DY60" s="399">
        <v>-2185.6442299999994</v>
      </c>
      <c r="DZ60" s="399">
        <v>142.73489999999993</v>
      </c>
      <c r="EA60" s="399">
        <v>0</v>
      </c>
      <c r="EB60" s="399">
        <v>0</v>
      </c>
      <c r="EC60" s="399">
        <v>-1953.6677000779644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227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2328</v>
      </c>
      <c r="D61" s="399" t="s">
        <v>2335</v>
      </c>
      <c r="E61" s="399" t="s">
        <v>894</v>
      </c>
      <c r="F61" s="399" t="s">
        <v>1239</v>
      </c>
      <c r="G61" s="399" t="s">
        <v>1239</v>
      </c>
      <c r="H61" s="399" t="s">
        <v>1239</v>
      </c>
      <c r="I61" s="399" t="s">
        <v>1239</v>
      </c>
      <c r="J61" s="399" t="s">
        <v>2329</v>
      </c>
      <c r="K61" s="789">
        <v>44531</v>
      </c>
      <c r="L61" s="399">
        <v>0</v>
      </c>
      <c r="M61" s="399">
        <v>0</v>
      </c>
      <c r="N61" s="399">
        <v>71.971999999999994</v>
      </c>
      <c r="O61" s="399">
        <v>71.971999999999994</v>
      </c>
      <c r="P61" s="399">
        <v>71.971999999999994</v>
      </c>
      <c r="Q61" s="399">
        <v>71.971999999999994</v>
      </c>
      <c r="R61" s="399"/>
      <c r="S61" s="399">
        <v>425.49</v>
      </c>
      <c r="T61" s="399">
        <v>205.96</v>
      </c>
      <c r="U61" s="399"/>
      <c r="V61" s="399">
        <v>45446.719400000002</v>
      </c>
      <c r="W61" s="399">
        <v>45446.719400000002</v>
      </c>
      <c r="X61" s="399">
        <v>34012.527759999997</v>
      </c>
      <c r="Y61" s="399">
        <v>0</v>
      </c>
      <c r="Z61" s="399">
        <v>4388.4281947863483</v>
      </c>
      <c r="AA61" s="399">
        <v>0</v>
      </c>
      <c r="AB61" s="399">
        <v>0</v>
      </c>
      <c r="AC61" s="399">
        <v>0</v>
      </c>
      <c r="AD61" s="399">
        <v>5834.2141119237394</v>
      </c>
      <c r="AE61" s="399">
        <v>17923.792456531264</v>
      </c>
      <c r="AF61" s="399">
        <v>14461.750437979834</v>
      </c>
      <c r="AG61" s="399">
        <v>361.90047855500399</v>
      </c>
      <c r="AH61" s="399">
        <v>0</v>
      </c>
      <c r="AI61" s="399">
        <v>0</v>
      </c>
      <c r="AJ61" s="399">
        <v>0</v>
      </c>
      <c r="AK61" s="399">
        <v>0</v>
      </c>
      <c r="AL61" s="399">
        <v>678.20444740812911</v>
      </c>
      <c r="AM61" s="399"/>
      <c r="AN61" s="399">
        <v>77.870332883424766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1721.0280023771595</v>
      </c>
      <c r="BH61" s="399">
        <v>0</v>
      </c>
      <c r="BI61" s="399">
        <v>93.87</v>
      </c>
      <c r="BJ61" s="399">
        <v>438.52</v>
      </c>
      <c r="BK61" s="399">
        <v>6530.78</v>
      </c>
      <c r="BL61" s="399">
        <v>247</v>
      </c>
      <c r="BM61" s="399"/>
      <c r="BN61" s="399"/>
      <c r="BO61" s="399"/>
      <c r="BP61" s="399"/>
      <c r="BQ61" s="399"/>
      <c r="BR61" s="399">
        <v>4082.2518400000017</v>
      </c>
      <c r="BS61" s="399"/>
      <c r="BT61" s="399"/>
      <c r="BU61" s="399"/>
      <c r="BV61" s="399">
        <v>16182.778440356993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29929.444199999998</v>
      </c>
      <c r="CJ61" s="399">
        <v>-10063.98676</v>
      </c>
      <c r="CK61" s="399"/>
      <c r="CL61" s="399"/>
      <c r="CM61" s="399"/>
      <c r="CN61" s="399"/>
      <c r="CO61" s="399">
        <v>-12233.080839999999</v>
      </c>
      <c r="CP61" s="399">
        <v>798.88919999999951</v>
      </c>
      <c r="CQ61" s="399"/>
      <c r="CR61" s="399">
        <v>-500.07844651322375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-728.8789988851513</v>
      </c>
      <c r="DA61" s="399">
        <v>0</v>
      </c>
      <c r="DB61" s="399">
        <v>0</v>
      </c>
      <c r="DC61" s="399">
        <v>798.68187892308379</v>
      </c>
      <c r="DD61" s="399">
        <v>0</v>
      </c>
      <c r="DE61" s="399">
        <v>0</v>
      </c>
      <c r="DF61" s="399">
        <v>0</v>
      </c>
      <c r="DG61" s="399">
        <v>95.047545213342119</v>
      </c>
      <c r="DH61" s="399">
        <v>0</v>
      </c>
      <c r="DI61" s="399">
        <v>-575.08158809150382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-75.72054128794764</v>
      </c>
      <c r="DP61" s="399">
        <v>-14.126742385047415</v>
      </c>
      <c r="DQ61" s="399">
        <v>0</v>
      </c>
      <c r="DR61" s="399">
        <v>0</v>
      </c>
      <c r="DS61" s="399"/>
      <c r="DT61" s="399"/>
      <c r="DU61" s="399"/>
      <c r="DV61" s="399">
        <v>17923.792456531264</v>
      </c>
      <c r="DW61" s="399">
        <v>0</v>
      </c>
      <c r="DX61" s="399">
        <v>0</v>
      </c>
      <c r="DY61" s="399">
        <v>-12233.080839999999</v>
      </c>
      <c r="DZ61" s="399">
        <v>798.88919999999962</v>
      </c>
      <c r="EA61" s="399">
        <v>0</v>
      </c>
      <c r="EB61" s="399">
        <v>0</v>
      </c>
      <c r="EC61" s="399">
        <v>-10934.705008944031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227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2328</v>
      </c>
      <c r="D62" s="399" t="s">
        <v>1826</v>
      </c>
      <c r="E62" s="399" t="s">
        <v>2336</v>
      </c>
      <c r="F62" s="399" t="s">
        <v>1239</v>
      </c>
      <c r="G62" s="399" t="s">
        <v>1239</v>
      </c>
      <c r="H62" s="399" t="s">
        <v>1239</v>
      </c>
      <c r="I62" s="399" t="s">
        <v>1239</v>
      </c>
      <c r="J62" s="399" t="s">
        <v>2329</v>
      </c>
      <c r="K62" s="789">
        <v>44531</v>
      </c>
      <c r="L62" s="399">
        <v>0</v>
      </c>
      <c r="M62" s="399">
        <v>0</v>
      </c>
      <c r="N62" s="399">
        <v>3.9159999999999999</v>
      </c>
      <c r="O62" s="399">
        <v>3.9159999999999999</v>
      </c>
      <c r="P62" s="399">
        <v>3.9159999999999999</v>
      </c>
      <c r="Q62" s="399">
        <v>3.9159999999999999</v>
      </c>
      <c r="R62" s="399"/>
      <c r="S62" s="399">
        <v>425.49</v>
      </c>
      <c r="T62" s="399">
        <v>205.96</v>
      </c>
      <c r="U62" s="399"/>
      <c r="V62" s="399">
        <v>2472.7582000000002</v>
      </c>
      <c r="W62" s="399">
        <v>2472.7582000000002</v>
      </c>
      <c r="X62" s="399">
        <v>1850.62328</v>
      </c>
      <c r="Y62" s="399">
        <v>0</v>
      </c>
      <c r="Z62" s="399">
        <v>238.77459026820625</v>
      </c>
      <c r="AA62" s="399">
        <v>0</v>
      </c>
      <c r="AB62" s="399">
        <v>0</v>
      </c>
      <c r="AC62" s="399">
        <v>0</v>
      </c>
      <c r="AD62" s="399">
        <v>317.43987192649041</v>
      </c>
      <c r="AE62" s="399">
        <v>975.23441421353346</v>
      </c>
      <c r="AF62" s="399">
        <v>786.86454058702043</v>
      </c>
      <c r="AG62" s="399">
        <v>19.691022536839267</v>
      </c>
      <c r="AH62" s="399">
        <v>0</v>
      </c>
      <c r="AI62" s="399">
        <v>0</v>
      </c>
      <c r="AJ62" s="399">
        <v>0</v>
      </c>
      <c r="AK62" s="399">
        <v>0</v>
      </c>
      <c r="AL62" s="399">
        <v>36.901136776110626</v>
      </c>
      <c r="AM62" s="399"/>
      <c r="AN62" s="399">
        <v>4.2369285773841412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93.641216824722903</v>
      </c>
      <c r="BH62" s="399">
        <v>0</v>
      </c>
      <c r="BI62" s="399">
        <v>21.85</v>
      </c>
      <c r="BJ62" s="399">
        <v>101.2</v>
      </c>
      <c r="BK62" s="399">
        <v>843.17</v>
      </c>
      <c r="BL62" s="399">
        <v>13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880.50575741174339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1852.5136</v>
      </c>
      <c r="CJ62" s="399">
        <v>-620.27459999999996</v>
      </c>
      <c r="CK62" s="399"/>
      <c r="CL62" s="399"/>
      <c r="CM62" s="399"/>
      <c r="CN62" s="399"/>
      <c r="CO62" s="399">
        <v>-665.60252000000003</v>
      </c>
      <c r="CP62" s="399">
        <v>43.467599999999976</v>
      </c>
      <c r="CQ62" s="399"/>
      <c r="CR62" s="399">
        <v>-27.209292454646175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-39.65834157219831</v>
      </c>
      <c r="DA62" s="399">
        <v>0</v>
      </c>
      <c r="DB62" s="399">
        <v>0</v>
      </c>
      <c r="DC62" s="399">
        <v>43.456319650180603</v>
      </c>
      <c r="DD62" s="399">
        <v>0</v>
      </c>
      <c r="DE62" s="399">
        <v>0</v>
      </c>
      <c r="DF62" s="399">
        <v>0</v>
      </c>
      <c r="DG62" s="399">
        <v>5.1715415308098756</v>
      </c>
      <c r="DH62" s="399">
        <v>0</v>
      </c>
      <c r="DI62" s="399">
        <v>-31.290217014482408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-4.1199583127272206</v>
      </c>
      <c r="DP62" s="399">
        <v>-0.76863673622861262</v>
      </c>
      <c r="DQ62" s="399">
        <v>0</v>
      </c>
      <c r="DR62" s="399">
        <v>0</v>
      </c>
      <c r="DS62" s="399"/>
      <c r="DT62" s="399"/>
      <c r="DU62" s="399"/>
      <c r="DV62" s="399">
        <v>975.23441421353346</v>
      </c>
      <c r="DW62" s="399">
        <v>0</v>
      </c>
      <c r="DX62" s="399">
        <v>0</v>
      </c>
      <c r="DY62" s="399">
        <v>-665.60252000000003</v>
      </c>
      <c r="DZ62" s="399">
        <v>43.467600000000061</v>
      </c>
      <c r="EA62" s="399">
        <v>0</v>
      </c>
      <c r="EB62" s="399">
        <v>0</v>
      </c>
      <c r="EC62" s="399">
        <v>-594.95782825299864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227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2328</v>
      </c>
      <c r="D63" s="399" t="s">
        <v>2337</v>
      </c>
      <c r="E63" s="399" t="s">
        <v>2338</v>
      </c>
      <c r="F63" s="399" t="s">
        <v>2339</v>
      </c>
      <c r="G63" s="399" t="s">
        <v>1239</v>
      </c>
      <c r="H63" s="399" t="s">
        <v>1239</v>
      </c>
      <c r="I63" s="399" t="s">
        <v>1239</v>
      </c>
      <c r="J63" s="399" t="s">
        <v>2329</v>
      </c>
      <c r="K63" s="789">
        <v>44531</v>
      </c>
      <c r="L63" s="399">
        <v>0</v>
      </c>
      <c r="M63" s="399">
        <v>0</v>
      </c>
      <c r="N63" s="399">
        <v>20.518000000000001</v>
      </c>
      <c r="O63" s="399">
        <v>20.518000000000001</v>
      </c>
      <c r="P63" s="399">
        <v>20.518000000000001</v>
      </c>
      <c r="Q63" s="399">
        <v>20.518000000000001</v>
      </c>
      <c r="R63" s="399"/>
      <c r="S63" s="399">
        <v>234.02</v>
      </c>
      <c r="T63" s="399">
        <v>113.28</v>
      </c>
      <c r="U63" s="399"/>
      <c r="V63" s="399">
        <v>7125.9014000000006</v>
      </c>
      <c r="W63" s="399">
        <v>7125.9014000000006</v>
      </c>
      <c r="X63" s="399">
        <v>5332.83338</v>
      </c>
      <c r="Y63" s="399">
        <v>0</v>
      </c>
      <c r="Z63" s="399">
        <v>688.08666335997918</v>
      </c>
      <c r="AA63" s="399">
        <v>0</v>
      </c>
      <c r="AB63" s="399">
        <v>0</v>
      </c>
      <c r="AC63" s="399">
        <v>0</v>
      </c>
      <c r="AD63" s="399">
        <v>914.77967586906368</v>
      </c>
      <c r="AE63" s="399">
        <v>2810.3735548923064</v>
      </c>
      <c r="AF63" s="399">
        <v>2267.5402589556788</v>
      </c>
      <c r="AG63" s="399">
        <v>56.74443825995332</v>
      </c>
      <c r="AH63" s="399">
        <v>0</v>
      </c>
      <c r="AI63" s="399">
        <v>0</v>
      </c>
      <c r="AJ63" s="399">
        <v>0</v>
      </c>
      <c r="AK63" s="399">
        <v>0</v>
      </c>
      <c r="AL63" s="399">
        <v>106.33953993992104</v>
      </c>
      <c r="AM63" s="399"/>
      <c r="AN63" s="399">
        <v>12.209733223422464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269.84978747326852</v>
      </c>
      <c r="BH63" s="399">
        <v>0</v>
      </c>
      <c r="BI63" s="399">
        <v>75.11</v>
      </c>
      <c r="BJ63" s="399">
        <v>346.73</v>
      </c>
      <c r="BK63" s="399">
        <v>2889.4</v>
      </c>
      <c r="BL63" s="399">
        <v>2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2537.3900464289472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5333.3531999999996</v>
      </c>
      <c r="CJ63" s="399">
        <v>-1792.5782000000017</v>
      </c>
      <c r="CK63" s="399"/>
      <c r="CL63" s="399"/>
      <c r="CM63" s="399"/>
      <c r="CN63" s="399"/>
      <c r="CO63" s="399">
        <v>-1918.2278200000003</v>
      </c>
      <c r="CP63" s="399">
        <v>125.15979999999989</v>
      </c>
      <c r="CQ63" s="399"/>
      <c r="CR63" s="399">
        <v>-78.410149239368366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-114.28509162617524</v>
      </c>
      <c r="DA63" s="399">
        <v>0</v>
      </c>
      <c r="DB63" s="399">
        <v>0</v>
      </c>
      <c r="DC63" s="399">
        <v>125.22988294698507</v>
      </c>
      <c r="DD63" s="399">
        <v>0</v>
      </c>
      <c r="DE63" s="399">
        <v>0</v>
      </c>
      <c r="DF63" s="399">
        <v>0</v>
      </c>
      <c r="DG63" s="399">
        <v>14.903046226004506</v>
      </c>
      <c r="DH63" s="399">
        <v>0</v>
      </c>
      <c r="DI63" s="399">
        <v>-90.1703191998796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-11.872655148951921</v>
      </c>
      <c r="DP63" s="399">
        <v>-2.2150124373509463</v>
      </c>
      <c r="DQ63" s="399">
        <v>0</v>
      </c>
      <c r="DR63" s="399">
        <v>0</v>
      </c>
      <c r="DS63" s="399"/>
      <c r="DT63" s="399"/>
      <c r="DU63" s="399"/>
      <c r="DV63" s="399">
        <v>2810.3735548923064</v>
      </c>
      <c r="DW63" s="399">
        <v>0</v>
      </c>
      <c r="DX63" s="399">
        <v>0</v>
      </c>
      <c r="DY63" s="399">
        <v>-1918.2278200000001</v>
      </c>
      <c r="DZ63" s="399">
        <v>125.1597999999999</v>
      </c>
      <c r="EA63" s="399">
        <v>0</v>
      </c>
      <c r="EB63" s="399">
        <v>0</v>
      </c>
      <c r="EC63" s="399">
        <v>-1714.5147078785062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227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2328</v>
      </c>
      <c r="D64" s="399" t="s">
        <v>2335</v>
      </c>
      <c r="E64" s="399" t="s">
        <v>894</v>
      </c>
      <c r="F64" s="399" t="s">
        <v>2342</v>
      </c>
      <c r="G64" s="399" t="s">
        <v>2340</v>
      </c>
      <c r="H64" s="399" t="s">
        <v>1239</v>
      </c>
      <c r="I64" s="399" t="s">
        <v>1239</v>
      </c>
      <c r="J64" s="399" t="s">
        <v>2329</v>
      </c>
      <c r="K64" s="789">
        <v>44531</v>
      </c>
      <c r="L64" s="399">
        <v>0</v>
      </c>
      <c r="M64" s="399">
        <v>0</v>
      </c>
      <c r="N64" s="399">
        <v>0</v>
      </c>
      <c r="O64" s="399">
        <v>0</v>
      </c>
      <c r="P64" s="399">
        <v>0</v>
      </c>
      <c r="Q64" s="399">
        <v>0</v>
      </c>
      <c r="R64" s="399"/>
      <c r="S64" s="399"/>
      <c r="T64" s="399"/>
      <c r="U64" s="399"/>
      <c r="V64" s="399"/>
      <c r="W64" s="399"/>
      <c r="X64" s="399"/>
      <c r="Y64" s="399"/>
      <c r="Z64" s="399"/>
      <c r="AA64" s="399">
        <v>0</v>
      </c>
      <c r="AB64" s="399"/>
      <c r="AC64" s="399"/>
      <c r="AD64" s="399"/>
      <c r="AE64" s="399"/>
      <c r="AF64" s="399"/>
      <c r="AG64" s="399"/>
      <c r="AH64" s="399"/>
      <c r="AI64" s="399"/>
      <c r="AJ64" s="399"/>
      <c r="AK64" s="399"/>
      <c r="AL64" s="399"/>
      <c r="AM64" s="399"/>
      <c r="AN64" s="399"/>
      <c r="AO64" s="399"/>
      <c r="AP64" s="399"/>
      <c r="AQ64" s="399"/>
      <c r="AR64" s="399"/>
      <c r="AS64" s="399"/>
      <c r="AT64" s="399"/>
      <c r="AU64" s="399"/>
      <c r="AV64" s="399"/>
      <c r="AW64" s="399"/>
      <c r="AX64" s="399"/>
      <c r="AY64" s="399"/>
      <c r="AZ64" s="399">
        <v>0</v>
      </c>
      <c r="BA64" s="399"/>
      <c r="BB64" s="399"/>
      <c r="BC64" s="399"/>
      <c r="BD64" s="399"/>
      <c r="BE64" s="399"/>
      <c r="BF64" s="399"/>
      <c r="BG64" s="399"/>
      <c r="BH64" s="399"/>
      <c r="BI64" s="399">
        <v>1.39</v>
      </c>
      <c r="BJ64" s="399">
        <v>6.43</v>
      </c>
      <c r="BK64" s="399">
        <v>154.59</v>
      </c>
      <c r="BL64" s="399">
        <v>1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/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/>
      <c r="CJ64" s="399">
        <v>-0.03</v>
      </c>
      <c r="CK64" s="399"/>
      <c r="CL64" s="399"/>
      <c r="CM64" s="399"/>
      <c r="CN64" s="399"/>
      <c r="CO64" s="399">
        <v>0</v>
      </c>
      <c r="CP64" s="399">
        <v>0</v>
      </c>
      <c r="CQ64" s="399"/>
      <c r="CR64" s="399"/>
      <c r="CS64" s="399"/>
      <c r="CT64" s="399"/>
      <c r="CU64" s="399"/>
      <c r="CV64" s="399"/>
      <c r="CW64" s="399"/>
      <c r="CX64" s="399"/>
      <c r="CY64" s="399"/>
      <c r="CZ64" s="399"/>
      <c r="DA64" s="399"/>
      <c r="DB64" s="399"/>
      <c r="DC64" s="399"/>
      <c r="DD64" s="399"/>
      <c r="DE64" s="399"/>
      <c r="DF64" s="399"/>
      <c r="DG64" s="399"/>
      <c r="DH64" s="399"/>
      <c r="DI64" s="399"/>
      <c r="DJ64" s="399"/>
      <c r="DK64" s="399">
        <v>0</v>
      </c>
      <c r="DL64" s="399"/>
      <c r="DM64" s="399"/>
      <c r="DN64" s="399"/>
      <c r="DO64" s="399"/>
      <c r="DP64" s="399"/>
      <c r="DQ64" s="399"/>
      <c r="DR64" s="399"/>
      <c r="DS64" s="399"/>
      <c r="DT64" s="399"/>
      <c r="DU64" s="399"/>
      <c r="DV64" s="399"/>
      <c r="DW64" s="399"/>
      <c r="DX64" s="399"/>
      <c r="DY64" s="399"/>
      <c r="DZ64" s="399"/>
      <c r="EA64" s="399"/>
      <c r="EB64" s="399"/>
      <c r="EC64" s="399"/>
      <c r="ED64" s="399"/>
      <c r="EE64" s="399"/>
      <c r="EF64" s="399"/>
      <c r="EG64" s="399"/>
      <c r="EH64" s="399"/>
      <c r="EI64" s="399"/>
      <c r="EJ64" s="399"/>
      <c r="EK64" s="399"/>
      <c r="EL64" s="399"/>
      <c r="EM64" s="399"/>
      <c r="EN64" s="399"/>
      <c r="EO64" s="399"/>
      <c r="EP64" s="399"/>
      <c r="EQ64" s="399"/>
      <c r="ER64" s="399"/>
      <c r="ES64" s="399"/>
      <c r="ET64" s="399"/>
      <c r="EU64" s="399"/>
      <c r="EV64" s="399">
        <v>227</v>
      </c>
      <c r="EW64" s="399"/>
      <c r="EX64" s="399"/>
      <c r="EY64" s="399"/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2328</v>
      </c>
      <c r="D65" s="399" t="s">
        <v>2335</v>
      </c>
      <c r="E65" s="399" t="s">
        <v>894</v>
      </c>
      <c r="F65" s="399" t="s">
        <v>2342</v>
      </c>
      <c r="G65" s="399" t="s">
        <v>2340</v>
      </c>
      <c r="H65" s="399" t="s">
        <v>1239</v>
      </c>
      <c r="I65" s="399" t="s">
        <v>1239</v>
      </c>
      <c r="J65" s="399" t="s">
        <v>2329</v>
      </c>
      <c r="K65" s="789">
        <v>44531</v>
      </c>
      <c r="L65" s="399">
        <v>0</v>
      </c>
      <c r="M65" s="399">
        <v>0</v>
      </c>
      <c r="N65" s="399">
        <v>0.877</v>
      </c>
      <c r="O65" s="399">
        <v>0.877</v>
      </c>
      <c r="P65" s="399">
        <v>0.877</v>
      </c>
      <c r="Q65" s="399">
        <v>0.877</v>
      </c>
      <c r="R65" s="399"/>
      <c r="S65" s="399">
        <v>425.49</v>
      </c>
      <c r="T65" s="399">
        <v>205.96</v>
      </c>
      <c r="U65" s="399"/>
      <c r="V65" s="399">
        <v>553.78165000000001</v>
      </c>
      <c r="W65" s="399">
        <v>553.78165000000001</v>
      </c>
      <c r="X65" s="399">
        <v>414.45266000000004</v>
      </c>
      <c r="Y65" s="399">
        <v>0</v>
      </c>
      <c r="Z65" s="399">
        <v>53.474288984988988</v>
      </c>
      <c r="AA65" s="399">
        <v>0</v>
      </c>
      <c r="AB65" s="399">
        <v>0</v>
      </c>
      <c r="AC65" s="399">
        <v>0</v>
      </c>
      <c r="AD65" s="399">
        <v>71.091615852791648</v>
      </c>
      <c r="AE65" s="399">
        <v>218.40668571636078</v>
      </c>
      <c r="AF65" s="399">
        <v>176.22068490674587</v>
      </c>
      <c r="AG65" s="399">
        <v>4.4098638316670167</v>
      </c>
      <c r="AH65" s="399">
        <v>0</v>
      </c>
      <c r="AI65" s="399">
        <v>0</v>
      </c>
      <c r="AJ65" s="399">
        <v>0</v>
      </c>
      <c r="AK65" s="399">
        <v>0</v>
      </c>
      <c r="AL65" s="399">
        <v>8.2641207744251837</v>
      </c>
      <c r="AM65" s="399"/>
      <c r="AN65" s="399">
        <v>0.94887292195247497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20.971232674995402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>
        <v>49.743440000000021</v>
      </c>
      <c r="BS65" s="399"/>
      <c r="BT65" s="399"/>
      <c r="BU65" s="399"/>
      <c r="BV65" s="399">
        <v>197.19191758174128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365.95679999999999</v>
      </c>
      <c r="CJ65" s="399">
        <v>-121.40456</v>
      </c>
      <c r="CK65" s="399"/>
      <c r="CL65" s="399"/>
      <c r="CM65" s="399"/>
      <c r="CN65" s="399"/>
      <c r="CO65" s="399">
        <v>-149.06369000000001</v>
      </c>
      <c r="CP65" s="399">
        <v>9.7346999999999948</v>
      </c>
      <c r="CQ65" s="399"/>
      <c r="CR65" s="399">
        <v>-6.0936030344035998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-8.8816050967359317</v>
      </c>
      <c r="DA65" s="399">
        <v>0</v>
      </c>
      <c r="DB65" s="399">
        <v>0</v>
      </c>
      <c r="DC65" s="399">
        <v>9.7321737316671317</v>
      </c>
      <c r="DD65" s="399">
        <v>0</v>
      </c>
      <c r="DE65" s="399">
        <v>0</v>
      </c>
      <c r="DF65" s="399">
        <v>0</v>
      </c>
      <c r="DG65" s="399">
        <v>1.1581823091216172</v>
      </c>
      <c r="DH65" s="399">
        <v>0</v>
      </c>
      <c r="DI65" s="399">
        <v>-7.007538386542663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-0.92267707871853144</v>
      </c>
      <c r="DP65" s="399">
        <v>-0.172138513195223</v>
      </c>
      <c r="DQ65" s="399">
        <v>0</v>
      </c>
      <c r="DR65" s="399">
        <v>0</v>
      </c>
      <c r="DS65" s="399"/>
      <c r="DT65" s="399"/>
      <c r="DU65" s="399"/>
      <c r="DV65" s="399">
        <v>218.40668571636078</v>
      </c>
      <c r="DW65" s="399">
        <v>0</v>
      </c>
      <c r="DX65" s="399">
        <v>0</v>
      </c>
      <c r="DY65" s="399">
        <v>-149.06369000000001</v>
      </c>
      <c r="DZ65" s="399">
        <v>9.7347000000000037</v>
      </c>
      <c r="EA65" s="399">
        <v>0</v>
      </c>
      <c r="EB65" s="399">
        <v>0</v>
      </c>
      <c r="EC65" s="399">
        <v>-133.2425984111031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227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956</v>
      </c>
      <c r="C66" s="399" t="s">
        <v>2328</v>
      </c>
      <c r="D66" s="399" t="s">
        <v>2335</v>
      </c>
      <c r="E66" s="399" t="s">
        <v>894</v>
      </c>
      <c r="F66" s="399" t="s">
        <v>2342</v>
      </c>
      <c r="G66" s="399" t="s">
        <v>2341</v>
      </c>
      <c r="H66" s="399" t="s">
        <v>1239</v>
      </c>
      <c r="I66" s="399" t="s">
        <v>1239</v>
      </c>
      <c r="J66" s="399" t="s">
        <v>2329</v>
      </c>
      <c r="K66" s="789">
        <v>44531</v>
      </c>
      <c r="L66" s="399">
        <v>0</v>
      </c>
      <c r="M66" s="399">
        <v>0</v>
      </c>
      <c r="N66" s="399">
        <v>0.55400000000000005</v>
      </c>
      <c r="O66" s="399">
        <v>0.22159999999999999</v>
      </c>
      <c r="P66" s="399">
        <v>0.55400000000000005</v>
      </c>
      <c r="Q66" s="399">
        <v>0.22159999999999999</v>
      </c>
      <c r="R66" s="399"/>
      <c r="S66" s="399">
        <v>425.49</v>
      </c>
      <c r="T66" s="399">
        <v>205.96</v>
      </c>
      <c r="U66" s="399"/>
      <c r="V66" s="399">
        <v>349.82330000000002</v>
      </c>
      <c r="W66" s="399">
        <v>349.82330000000002</v>
      </c>
      <c r="X66" s="399">
        <v>261.80932000000001</v>
      </c>
      <c r="Y66" s="399">
        <v>0</v>
      </c>
      <c r="Z66" s="399">
        <v>33.779653475124178</v>
      </c>
      <c r="AA66" s="399">
        <v>0</v>
      </c>
      <c r="AB66" s="399">
        <v>0</v>
      </c>
      <c r="AC66" s="399">
        <v>0</v>
      </c>
      <c r="AD66" s="399">
        <v>44.908500778160288</v>
      </c>
      <c r="AE66" s="399">
        <v>137.96727923245598</v>
      </c>
      <c r="AF66" s="399">
        <v>111.31842581338339</v>
      </c>
      <c r="AG66" s="399">
        <v>2.7857064569481498</v>
      </c>
      <c r="AH66" s="399">
        <v>0</v>
      </c>
      <c r="AI66" s="399">
        <v>0</v>
      </c>
      <c r="AJ66" s="399">
        <v>0</v>
      </c>
      <c r="AK66" s="399">
        <v>0</v>
      </c>
      <c r="AL66" s="399">
        <v>5.220436612350686</v>
      </c>
      <c r="AM66" s="399"/>
      <c r="AN66" s="399">
        <v>0.59940205103953381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13.247506159575204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/>
      <c r="BS66" s="399">
        <v>169.65474400000005</v>
      </c>
      <c r="BT66" s="399"/>
      <c r="BU66" s="399"/>
      <c r="BV66" s="399">
        <v>124.56593197295859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91.489199999999997</v>
      </c>
      <c r="CJ66" s="399">
        <v>-31.679488000000021</v>
      </c>
      <c r="CK66" s="399"/>
      <c r="CL66" s="399"/>
      <c r="CM66" s="399"/>
      <c r="CN66" s="399"/>
      <c r="CO66" s="399">
        <v>-94.163380000000004</v>
      </c>
      <c r="CP66" s="399">
        <v>6.1493999999999973</v>
      </c>
      <c r="CQ66" s="399"/>
      <c r="CR66" s="399">
        <v>-3.8493227834202912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-5.6105008250760591</v>
      </c>
      <c r="DA66" s="399">
        <v>0</v>
      </c>
      <c r="DB66" s="399">
        <v>0</v>
      </c>
      <c r="DC66" s="399">
        <v>6.1478041588866432</v>
      </c>
      <c r="DD66" s="399">
        <v>0</v>
      </c>
      <c r="DE66" s="399">
        <v>0</v>
      </c>
      <c r="DF66" s="399">
        <v>0</v>
      </c>
      <c r="DG66" s="399">
        <v>0.73162257611559234</v>
      </c>
      <c r="DH66" s="399">
        <v>0</v>
      </c>
      <c r="DI66" s="399">
        <v>-4.4266548074625298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-0.58285416375150056</v>
      </c>
      <c r="DP66" s="399">
        <v>-0.10873972213244415</v>
      </c>
      <c r="DQ66" s="399">
        <v>0</v>
      </c>
      <c r="DR66" s="399">
        <v>0</v>
      </c>
      <c r="DS66" s="399"/>
      <c r="DT66" s="399"/>
      <c r="DU66" s="399"/>
      <c r="DV66" s="399">
        <v>137.96727923245598</v>
      </c>
      <c r="DW66" s="399">
        <v>0</v>
      </c>
      <c r="DX66" s="399">
        <v>0</v>
      </c>
      <c r="DY66" s="399">
        <v>-94.163380000000018</v>
      </c>
      <c r="DZ66" s="399">
        <v>6.1494</v>
      </c>
      <c r="EA66" s="399">
        <v>0</v>
      </c>
      <c r="EB66" s="399">
        <v>0</v>
      </c>
      <c r="EC66" s="399">
        <v>-84.169212679305744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227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2328</v>
      </c>
      <c r="D67" s="399" t="s">
        <v>1823</v>
      </c>
      <c r="E67" s="399" t="s">
        <v>889</v>
      </c>
      <c r="F67" s="399" t="s">
        <v>889</v>
      </c>
      <c r="G67" s="399" t="s">
        <v>1239</v>
      </c>
      <c r="H67" s="399" t="s">
        <v>1239</v>
      </c>
      <c r="I67" s="399" t="s">
        <v>1239</v>
      </c>
      <c r="J67" s="399" t="s">
        <v>2329</v>
      </c>
      <c r="K67" s="789">
        <v>44562</v>
      </c>
      <c r="L67" s="399">
        <v>0</v>
      </c>
      <c r="M67" s="399">
        <v>0</v>
      </c>
      <c r="N67" s="399">
        <v>208.245</v>
      </c>
      <c r="O67" s="399">
        <v>208.245</v>
      </c>
      <c r="P67" s="399">
        <v>208.245</v>
      </c>
      <c r="Q67" s="399">
        <v>208.245</v>
      </c>
      <c r="R67" s="399"/>
      <c r="S67" s="399">
        <v>425.49</v>
      </c>
      <c r="T67" s="399">
        <v>205.96</v>
      </c>
      <c r="U67" s="399"/>
      <c r="V67" s="399">
        <v>131496.30525</v>
      </c>
      <c r="W67" s="399">
        <v>131496.30525</v>
      </c>
      <c r="X67" s="399">
        <v>98412.422100000011</v>
      </c>
      <c r="Y67" s="399">
        <v>0</v>
      </c>
      <c r="Z67" s="399">
        <v>12697.552234525692</v>
      </c>
      <c r="AA67" s="399">
        <v>0</v>
      </c>
      <c r="AB67" s="399">
        <v>0</v>
      </c>
      <c r="AC67" s="399">
        <v>0</v>
      </c>
      <c r="AD67" s="399">
        <v>16880.813618317668</v>
      </c>
      <c r="AE67" s="399">
        <v>51861.003725203598</v>
      </c>
      <c r="AF67" s="399">
        <v>41843.872894418811</v>
      </c>
      <c r="AG67" s="399">
        <v>1047.1289551031903</v>
      </c>
      <c r="AH67" s="399">
        <v>0</v>
      </c>
      <c r="AI67" s="399">
        <v>0</v>
      </c>
      <c r="AJ67" s="399">
        <v>0</v>
      </c>
      <c r="AK67" s="399">
        <v>0</v>
      </c>
      <c r="AL67" s="399">
        <v>1962.3281991678134</v>
      </c>
      <c r="AM67" s="399"/>
      <c r="AN67" s="399">
        <v>225.31133595438214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4979.6514805067472</v>
      </c>
      <c r="BH67" s="399">
        <v>0</v>
      </c>
      <c r="BI67" s="399">
        <v>446.12</v>
      </c>
      <c r="BJ67" s="399">
        <v>2065.13</v>
      </c>
      <c r="BK67" s="399">
        <v>29344.89</v>
      </c>
      <c r="BL67" s="399">
        <v>938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46823.524374925561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98414.785000000003</v>
      </c>
      <c r="CJ67" s="399">
        <v>-33081.55025</v>
      </c>
      <c r="CK67" s="399"/>
      <c r="CL67" s="399"/>
      <c r="CM67" s="399"/>
      <c r="CN67" s="399"/>
      <c r="CO67" s="399">
        <v>-35395.402650000004</v>
      </c>
      <c r="CP67" s="399">
        <v>2311.519499999999</v>
      </c>
      <c r="CQ67" s="399">
        <v>31</v>
      </c>
      <c r="CR67" s="399">
        <v>-1446.9354206378339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-2108.9508020179837</v>
      </c>
      <c r="DA67" s="399">
        <v>0</v>
      </c>
      <c r="DB67" s="399">
        <v>0</v>
      </c>
      <c r="DC67" s="399">
        <v>2310.919633695572</v>
      </c>
      <c r="DD67" s="399">
        <v>0</v>
      </c>
      <c r="DE67" s="399">
        <v>0</v>
      </c>
      <c r="DF67" s="399">
        <v>0</v>
      </c>
      <c r="DG67" s="399">
        <v>275.01217213572545</v>
      </c>
      <c r="DH67" s="399">
        <v>0</v>
      </c>
      <c r="DI67" s="399">
        <v>-1663.9507768592666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-219.09109265420807</v>
      </c>
      <c r="DP67" s="399">
        <v>-40.874554937672968</v>
      </c>
      <c r="DQ67" s="399">
        <v>0</v>
      </c>
      <c r="DR67" s="399">
        <v>0</v>
      </c>
      <c r="DS67" s="399"/>
      <c r="DT67" s="399"/>
      <c r="DU67" s="399"/>
      <c r="DV67" s="399">
        <v>51861.003725203598</v>
      </c>
      <c r="DW67" s="399">
        <v>0</v>
      </c>
      <c r="DX67" s="399">
        <v>0</v>
      </c>
      <c r="DY67" s="399">
        <v>-35395.402650000004</v>
      </c>
      <c r="DZ67" s="399">
        <v>2311.5195000000022</v>
      </c>
      <c r="EA67" s="399">
        <v>0</v>
      </c>
      <c r="EB67" s="399">
        <v>0</v>
      </c>
      <c r="EC67" s="399">
        <v>-31638.660098198598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227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2328</v>
      </c>
      <c r="D68" s="399" t="s">
        <v>1823</v>
      </c>
      <c r="E68" s="399" t="s">
        <v>889</v>
      </c>
      <c r="F68" s="399" t="s">
        <v>2330</v>
      </c>
      <c r="G68" s="399" t="s">
        <v>1239</v>
      </c>
      <c r="H68" s="399" t="s">
        <v>1239</v>
      </c>
      <c r="I68" s="399" t="s">
        <v>1239</v>
      </c>
      <c r="J68" s="399" t="s">
        <v>2329</v>
      </c>
      <c r="K68" s="789">
        <v>44562</v>
      </c>
      <c r="L68" s="399">
        <v>0</v>
      </c>
      <c r="M68" s="399">
        <v>0</v>
      </c>
      <c r="N68" s="399">
        <v>0.12</v>
      </c>
      <c r="O68" s="399">
        <v>0.12</v>
      </c>
      <c r="P68" s="399">
        <v>0.12</v>
      </c>
      <c r="Q68" s="399">
        <v>0.12</v>
      </c>
      <c r="R68" s="399"/>
      <c r="S68" s="399">
        <v>355.1</v>
      </c>
      <c r="T68" s="399">
        <v>205.96</v>
      </c>
      <c r="U68" s="399"/>
      <c r="V68" s="399">
        <v>67.327200000000005</v>
      </c>
      <c r="W68" s="399">
        <v>67.327200000000005</v>
      </c>
      <c r="X68" s="399">
        <v>49.346400000000003</v>
      </c>
      <c r="Y68" s="399">
        <v>0</v>
      </c>
      <c r="Z68" s="399">
        <v>0</v>
      </c>
      <c r="AA68" s="399">
        <v>0</v>
      </c>
      <c r="AB68" s="399">
        <v>0</v>
      </c>
      <c r="AC68" s="399">
        <v>0</v>
      </c>
      <c r="AD68" s="399">
        <v>9.727473092742299</v>
      </c>
      <c r="AE68" s="399">
        <v>29.884609220026562</v>
      </c>
      <c r="AF68" s="399">
        <v>24.112294400010839</v>
      </c>
      <c r="AG68" s="399">
        <v>0.60340212063858834</v>
      </c>
      <c r="AH68" s="399">
        <v>0</v>
      </c>
      <c r="AI68" s="399">
        <v>0</v>
      </c>
      <c r="AJ68" s="399">
        <v>0</v>
      </c>
      <c r="AK68" s="399">
        <v>0</v>
      </c>
      <c r="AL68" s="399">
        <v>0</v>
      </c>
      <c r="AM68" s="399"/>
      <c r="AN68" s="399">
        <v>0.1298343792865416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2.8694959190415599</v>
      </c>
      <c r="BH68" s="399">
        <v>0</v>
      </c>
      <c r="BI68" s="399">
        <v>0.06</v>
      </c>
      <c r="BJ68" s="399">
        <v>0.3</v>
      </c>
      <c r="BK68" s="399">
        <v>2.38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>
        <v>32.074800000000003</v>
      </c>
      <c r="BU68" s="399"/>
      <c r="BV68" s="399">
        <v>26.981790319052401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17.271599999999999</v>
      </c>
      <c r="CJ68" s="399">
        <v>-6.3228000000000009</v>
      </c>
      <c r="CK68" s="399"/>
      <c r="CL68" s="399"/>
      <c r="CM68" s="399"/>
      <c r="CN68" s="399"/>
      <c r="CO68" s="399">
        <v>-19.312800000000003</v>
      </c>
      <c r="CP68" s="399">
        <v>1.3319999999999992</v>
      </c>
      <c r="CQ68" s="399">
        <v>31</v>
      </c>
      <c r="CR68" s="399">
        <v>0.25130386739213861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-1.2152709368395787</v>
      </c>
      <c r="DA68" s="399">
        <v>0</v>
      </c>
      <c r="DB68" s="399">
        <v>0</v>
      </c>
      <c r="DC68" s="399">
        <v>1.3316543304447599</v>
      </c>
      <c r="DD68" s="399">
        <v>0</v>
      </c>
      <c r="DE68" s="399">
        <v>0</v>
      </c>
      <c r="DF68" s="399">
        <v>0</v>
      </c>
      <c r="DG68" s="399">
        <v>0.15847420421276404</v>
      </c>
      <c r="DH68" s="399">
        <v>0</v>
      </c>
      <c r="DI68" s="399">
        <v>0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0</v>
      </c>
      <c r="DP68" s="399">
        <v>-2.3553730425800168E-2</v>
      </c>
      <c r="DQ68" s="399">
        <v>0</v>
      </c>
      <c r="DR68" s="399">
        <v>0</v>
      </c>
      <c r="DS68" s="399"/>
      <c r="DT68" s="399"/>
      <c r="DU68" s="399"/>
      <c r="DV68" s="399">
        <v>29.884609220026562</v>
      </c>
      <c r="DW68" s="399">
        <v>0</v>
      </c>
      <c r="DX68" s="399">
        <v>0</v>
      </c>
      <c r="DY68" s="399">
        <v>-19.312800000000003</v>
      </c>
      <c r="DZ68" s="399">
        <v>1.3320000000000007</v>
      </c>
      <c r="EA68" s="399">
        <v>0</v>
      </c>
      <c r="EB68" s="399">
        <v>0</v>
      </c>
      <c r="EC68" s="399">
        <v>-18.231598414290051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227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2328</v>
      </c>
      <c r="D69" s="399" t="s">
        <v>1823</v>
      </c>
      <c r="E69" s="399" t="s">
        <v>889</v>
      </c>
      <c r="F69" s="399" t="s">
        <v>2331</v>
      </c>
      <c r="G69" s="399" t="s">
        <v>1239</v>
      </c>
      <c r="H69" s="399" t="s">
        <v>1239</v>
      </c>
      <c r="I69" s="399" t="s">
        <v>1239</v>
      </c>
      <c r="J69" s="399" t="s">
        <v>2329</v>
      </c>
      <c r="K69" s="789">
        <v>44562</v>
      </c>
      <c r="L69" s="399">
        <v>0</v>
      </c>
      <c r="M69" s="399">
        <v>0</v>
      </c>
      <c r="N69" s="399">
        <v>0.28000000000000003</v>
      </c>
      <c r="O69" s="399">
        <v>0.28000000000000003</v>
      </c>
      <c r="P69" s="399">
        <v>0.28000000000000003</v>
      </c>
      <c r="Q69" s="399">
        <v>0.28000000000000003</v>
      </c>
      <c r="R69" s="399"/>
      <c r="S69" s="399">
        <v>355.1</v>
      </c>
      <c r="T69" s="399">
        <v>205.96</v>
      </c>
      <c r="U69" s="399"/>
      <c r="V69" s="399">
        <v>157.09680000000003</v>
      </c>
      <c r="W69" s="399">
        <v>157.09680000000003</v>
      </c>
      <c r="X69" s="399">
        <v>115.14160000000001</v>
      </c>
      <c r="Y69" s="399">
        <v>0</v>
      </c>
      <c r="Z69" s="399">
        <v>0</v>
      </c>
      <c r="AA69" s="399">
        <v>0</v>
      </c>
      <c r="AB69" s="399">
        <v>0</v>
      </c>
      <c r="AC69" s="399">
        <v>0</v>
      </c>
      <c r="AD69" s="399">
        <v>22.697437216398704</v>
      </c>
      <c r="AE69" s="399">
        <v>69.730754846728644</v>
      </c>
      <c r="AF69" s="399">
        <v>56.262020266691962</v>
      </c>
      <c r="AG69" s="399">
        <v>1.4079382814900396</v>
      </c>
      <c r="AH69" s="399">
        <v>0</v>
      </c>
      <c r="AI69" s="399">
        <v>0</v>
      </c>
      <c r="AJ69" s="399">
        <v>0</v>
      </c>
      <c r="AK69" s="399">
        <v>0</v>
      </c>
      <c r="AL69" s="399">
        <v>0</v>
      </c>
      <c r="AM69" s="399"/>
      <c r="AN69" s="399">
        <v>0.30294688500193045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6.6954904777636406</v>
      </c>
      <c r="BH69" s="399">
        <v>0</v>
      </c>
      <c r="BI69" s="399">
        <v>0.25</v>
      </c>
      <c r="BJ69" s="399">
        <v>1.25</v>
      </c>
      <c r="BK69" s="399">
        <v>9.6199999999999992</v>
      </c>
      <c r="BL69" s="399">
        <v>0</v>
      </c>
      <c r="BM69" s="399"/>
      <c r="BN69" s="399"/>
      <c r="BO69" s="399"/>
      <c r="BP69" s="399"/>
      <c r="BQ69" s="399"/>
      <c r="BR69" s="399"/>
      <c r="BS69" s="399"/>
      <c r="BT69" s="399">
        <v>46.054400000000001</v>
      </c>
      <c r="BU69" s="399"/>
      <c r="BV69" s="399">
        <v>62.957510744455604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69.08720000000001</v>
      </c>
      <c r="CJ69" s="399">
        <v>-25.201999999999998</v>
      </c>
      <c r="CK69" s="399"/>
      <c r="CL69" s="399"/>
      <c r="CM69" s="399"/>
      <c r="CN69" s="399"/>
      <c r="CO69" s="399">
        <v>-45.063200000000009</v>
      </c>
      <c r="CP69" s="399">
        <v>3.1079999999999988</v>
      </c>
      <c r="CQ69" s="399">
        <v>31</v>
      </c>
      <c r="CR69" s="399">
        <v>0.5863756905816615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-2.835632185959021</v>
      </c>
      <c r="DA69" s="399">
        <v>0</v>
      </c>
      <c r="DB69" s="399">
        <v>0</v>
      </c>
      <c r="DC69" s="399">
        <v>3.1071934377044386</v>
      </c>
      <c r="DD69" s="399">
        <v>0</v>
      </c>
      <c r="DE69" s="399">
        <v>0</v>
      </c>
      <c r="DF69" s="399">
        <v>0</v>
      </c>
      <c r="DG69" s="399">
        <v>0.36977314316311638</v>
      </c>
      <c r="DH69" s="399">
        <v>0</v>
      </c>
      <c r="DI69" s="399">
        <v>0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0</v>
      </c>
      <c r="DP69" s="399">
        <v>-5.4958704326867086E-2</v>
      </c>
      <c r="DQ69" s="399">
        <v>0</v>
      </c>
      <c r="DR69" s="399">
        <v>0</v>
      </c>
      <c r="DS69" s="399"/>
      <c r="DT69" s="399"/>
      <c r="DU69" s="399"/>
      <c r="DV69" s="399">
        <v>69.730754846728644</v>
      </c>
      <c r="DW69" s="399">
        <v>0</v>
      </c>
      <c r="DX69" s="399">
        <v>0</v>
      </c>
      <c r="DY69" s="399">
        <v>-45.063200000000009</v>
      </c>
      <c r="DZ69" s="399">
        <v>3.1080000000000041</v>
      </c>
      <c r="EA69" s="399">
        <v>0</v>
      </c>
      <c r="EB69" s="399">
        <v>0</v>
      </c>
      <c r="EC69" s="399">
        <v>-42.540396300010116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227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2328</v>
      </c>
      <c r="D70" s="399" t="s">
        <v>1823</v>
      </c>
      <c r="E70" s="399" t="s">
        <v>889</v>
      </c>
      <c r="F70" s="399" t="s">
        <v>2332</v>
      </c>
      <c r="G70" s="399" t="s">
        <v>1239</v>
      </c>
      <c r="H70" s="399" t="s">
        <v>1239</v>
      </c>
      <c r="I70" s="399" t="s">
        <v>1239</v>
      </c>
      <c r="J70" s="399" t="s">
        <v>2329</v>
      </c>
      <c r="K70" s="789">
        <v>44562</v>
      </c>
      <c r="L70" s="399">
        <v>0</v>
      </c>
      <c r="M70" s="399">
        <v>0</v>
      </c>
      <c r="N70" s="399">
        <v>0.28199999999999997</v>
      </c>
      <c r="O70" s="399">
        <v>0.28199999999999997</v>
      </c>
      <c r="P70" s="399">
        <v>0.28199999999999997</v>
      </c>
      <c r="Q70" s="399">
        <v>0.28199999999999997</v>
      </c>
      <c r="R70" s="399"/>
      <c r="S70" s="399">
        <v>355.1</v>
      </c>
      <c r="T70" s="399">
        <v>205.96</v>
      </c>
      <c r="U70" s="399"/>
      <c r="V70" s="399">
        <v>158.21892</v>
      </c>
      <c r="W70" s="399">
        <v>158.21892</v>
      </c>
      <c r="X70" s="399">
        <v>115.96403999999998</v>
      </c>
      <c r="Y70" s="399">
        <v>0</v>
      </c>
      <c r="Z70" s="399">
        <v>0</v>
      </c>
      <c r="AA70" s="399">
        <v>0</v>
      </c>
      <c r="AB70" s="399">
        <v>0</v>
      </c>
      <c r="AC70" s="399">
        <v>0</v>
      </c>
      <c r="AD70" s="399">
        <v>22.859561767944403</v>
      </c>
      <c r="AE70" s="399">
        <v>70.228831667062408</v>
      </c>
      <c r="AF70" s="399">
        <v>56.663891840025471</v>
      </c>
      <c r="AG70" s="399">
        <v>1.4179949835006824</v>
      </c>
      <c r="AH70" s="399">
        <v>0</v>
      </c>
      <c r="AI70" s="399">
        <v>0</v>
      </c>
      <c r="AJ70" s="399">
        <v>0</v>
      </c>
      <c r="AK70" s="399">
        <v>0</v>
      </c>
      <c r="AL70" s="399">
        <v>0</v>
      </c>
      <c r="AM70" s="399"/>
      <c r="AN70" s="399">
        <v>0.30511079132337277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6.743315409747666</v>
      </c>
      <c r="BH70" s="399">
        <v>0</v>
      </c>
      <c r="BI70" s="399">
        <v>0.39</v>
      </c>
      <c r="BJ70" s="399">
        <v>1.76</v>
      </c>
      <c r="BK70" s="399">
        <v>22.54</v>
      </c>
      <c r="BL70" s="399">
        <v>3</v>
      </c>
      <c r="BM70" s="399"/>
      <c r="BN70" s="399"/>
      <c r="BO70" s="399"/>
      <c r="BP70" s="399"/>
      <c r="BQ70" s="399"/>
      <c r="BR70" s="399"/>
      <c r="BS70" s="399"/>
      <c r="BT70" s="399">
        <v>11.593019999999996</v>
      </c>
      <c r="BU70" s="399"/>
      <c r="BV70" s="399">
        <v>63.407207249773137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103.63080000000002</v>
      </c>
      <c r="CJ70" s="399">
        <v>-38.797919999999976</v>
      </c>
      <c r="CK70" s="399"/>
      <c r="CL70" s="399"/>
      <c r="CM70" s="399"/>
      <c r="CN70" s="399"/>
      <c r="CO70" s="399">
        <v>-45.385080000000002</v>
      </c>
      <c r="CP70" s="399">
        <v>3.1301999999999981</v>
      </c>
      <c r="CQ70" s="399">
        <v>31</v>
      </c>
      <c r="CR70" s="399">
        <v>0.59056408837152219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-2.8558867015730094</v>
      </c>
      <c r="DA70" s="399">
        <v>0</v>
      </c>
      <c r="DB70" s="399">
        <v>0</v>
      </c>
      <c r="DC70" s="399">
        <v>3.1293876765451785</v>
      </c>
      <c r="DD70" s="399">
        <v>0</v>
      </c>
      <c r="DE70" s="399">
        <v>0</v>
      </c>
      <c r="DF70" s="399">
        <v>0</v>
      </c>
      <c r="DG70" s="399">
        <v>0.37241437989999504</v>
      </c>
      <c r="DH70" s="399">
        <v>0</v>
      </c>
      <c r="DI70" s="399">
        <v>0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0</v>
      </c>
      <c r="DP70" s="399">
        <v>-5.5351266500630408E-2</v>
      </c>
      <c r="DQ70" s="399">
        <v>0</v>
      </c>
      <c r="DR70" s="399">
        <v>0</v>
      </c>
      <c r="DS70" s="399"/>
      <c r="DT70" s="399"/>
      <c r="DU70" s="399"/>
      <c r="DV70" s="399">
        <v>70.228831667062408</v>
      </c>
      <c r="DW70" s="399">
        <v>0</v>
      </c>
      <c r="DX70" s="399">
        <v>0</v>
      </c>
      <c r="DY70" s="399">
        <v>-45.385080000000002</v>
      </c>
      <c r="DZ70" s="399">
        <v>3.130199999999995</v>
      </c>
      <c r="EA70" s="399">
        <v>0</v>
      </c>
      <c r="EB70" s="399">
        <v>0</v>
      </c>
      <c r="EC70" s="399">
        <v>-42.844256273581607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227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2328</v>
      </c>
      <c r="D71" s="399" t="s">
        <v>1823</v>
      </c>
      <c r="E71" s="399" t="s">
        <v>889</v>
      </c>
      <c r="F71" s="399" t="s">
        <v>2333</v>
      </c>
      <c r="G71" s="399" t="s">
        <v>1239</v>
      </c>
      <c r="H71" s="399" t="s">
        <v>1239</v>
      </c>
      <c r="I71" s="399" t="s">
        <v>1239</v>
      </c>
      <c r="J71" s="399" t="s">
        <v>2329</v>
      </c>
      <c r="K71" s="789">
        <v>44562</v>
      </c>
      <c r="L71" s="399">
        <v>0</v>
      </c>
      <c r="M71" s="399">
        <v>0</v>
      </c>
      <c r="N71" s="399">
        <v>9.0999999999999998E-2</v>
      </c>
      <c r="O71" s="399">
        <v>9.0999999999999998E-2</v>
      </c>
      <c r="P71" s="399">
        <v>9.0999999999999998E-2</v>
      </c>
      <c r="Q71" s="399">
        <v>9.0999999999999998E-2</v>
      </c>
      <c r="R71" s="399"/>
      <c r="S71" s="399">
        <v>355.1</v>
      </c>
      <c r="T71" s="399">
        <v>205.96</v>
      </c>
      <c r="U71" s="399"/>
      <c r="V71" s="399">
        <v>51.056460000000001</v>
      </c>
      <c r="W71" s="399">
        <v>51.056460000000001</v>
      </c>
      <c r="X71" s="399">
        <v>37.421019999999999</v>
      </c>
      <c r="Y71" s="399">
        <v>0</v>
      </c>
      <c r="Z71" s="399">
        <v>0</v>
      </c>
      <c r="AA71" s="399">
        <v>0</v>
      </c>
      <c r="AB71" s="399">
        <v>0</v>
      </c>
      <c r="AC71" s="399">
        <v>0</v>
      </c>
      <c r="AD71" s="399">
        <v>7.3766670953295774</v>
      </c>
      <c r="AE71" s="399">
        <v>22.662495325186807</v>
      </c>
      <c r="AF71" s="399">
        <v>18.285156586674887</v>
      </c>
      <c r="AG71" s="399">
        <v>0.45757994148426284</v>
      </c>
      <c r="AH71" s="399">
        <v>0</v>
      </c>
      <c r="AI71" s="399">
        <v>0</v>
      </c>
      <c r="AJ71" s="399">
        <v>0</v>
      </c>
      <c r="AK71" s="399">
        <v>0</v>
      </c>
      <c r="AL71" s="399">
        <v>0</v>
      </c>
      <c r="AM71" s="399"/>
      <c r="AN71" s="399">
        <v>9.8457737625627387E-2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2.176034405273183</v>
      </c>
      <c r="BH71" s="399">
        <v>0</v>
      </c>
      <c r="BI71" s="399">
        <v>0.13</v>
      </c>
      <c r="BJ71" s="399">
        <v>0.59</v>
      </c>
      <c r="BK71" s="399">
        <v>13.82</v>
      </c>
      <c r="BL71" s="399">
        <v>1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20.461190991948069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37.009799999999998</v>
      </c>
      <c r="CJ71" s="399">
        <v>-14.076659999999997</v>
      </c>
      <c r="CK71" s="399"/>
      <c r="CL71" s="399"/>
      <c r="CM71" s="399"/>
      <c r="CN71" s="399"/>
      <c r="CO71" s="399">
        <v>-14.645540000000002</v>
      </c>
      <c r="CP71" s="399">
        <v>1.0100999999999996</v>
      </c>
      <c r="CQ71" s="399">
        <v>31</v>
      </c>
      <c r="CR71" s="399">
        <v>0.19057209943904496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-0.92158046043668129</v>
      </c>
      <c r="DA71" s="399">
        <v>0</v>
      </c>
      <c r="DB71" s="399">
        <v>0</v>
      </c>
      <c r="DC71" s="399">
        <v>1.0098378672539425</v>
      </c>
      <c r="DD71" s="399">
        <v>0</v>
      </c>
      <c r="DE71" s="399">
        <v>0</v>
      </c>
      <c r="DF71" s="399">
        <v>0</v>
      </c>
      <c r="DG71" s="399">
        <v>0.1201762715280128</v>
      </c>
      <c r="DH71" s="399">
        <v>0</v>
      </c>
      <c r="DI71" s="399">
        <v>0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0</v>
      </c>
      <c r="DP71" s="399">
        <v>-1.7861578906231801E-2</v>
      </c>
      <c r="DQ71" s="399">
        <v>0</v>
      </c>
      <c r="DR71" s="399">
        <v>0</v>
      </c>
      <c r="DS71" s="399"/>
      <c r="DT71" s="399"/>
      <c r="DU71" s="399"/>
      <c r="DV71" s="399">
        <v>22.662495325186807</v>
      </c>
      <c r="DW71" s="399">
        <v>0</v>
      </c>
      <c r="DX71" s="399">
        <v>0</v>
      </c>
      <c r="DY71" s="399">
        <v>-14.645540000000004</v>
      </c>
      <c r="DZ71" s="399">
        <v>1.0100999999999978</v>
      </c>
      <c r="EA71" s="399">
        <v>0</v>
      </c>
      <c r="EB71" s="399">
        <v>0</v>
      </c>
      <c r="EC71" s="399">
        <v>-13.825628797503287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227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2328</v>
      </c>
      <c r="D72" s="399" t="s">
        <v>1826</v>
      </c>
      <c r="E72" s="399" t="s">
        <v>890</v>
      </c>
      <c r="F72" s="399" t="s">
        <v>1239</v>
      </c>
      <c r="G72" s="399" t="s">
        <v>1239</v>
      </c>
      <c r="H72" s="399" t="s">
        <v>1239</v>
      </c>
      <c r="I72" s="399" t="s">
        <v>1239</v>
      </c>
      <c r="J72" s="399" t="s">
        <v>2329</v>
      </c>
      <c r="K72" s="789">
        <v>44562</v>
      </c>
      <c r="L72" s="399">
        <v>0</v>
      </c>
      <c r="M72" s="399">
        <v>0</v>
      </c>
      <c r="N72" s="399">
        <v>43.296999999999997</v>
      </c>
      <c r="O72" s="399">
        <v>43.296999999999997</v>
      </c>
      <c r="P72" s="399">
        <v>43.296999999999997</v>
      </c>
      <c r="Q72" s="399">
        <v>43.296999999999997</v>
      </c>
      <c r="R72" s="399"/>
      <c r="S72" s="399">
        <v>425.49</v>
      </c>
      <c r="T72" s="399">
        <v>205.96</v>
      </c>
      <c r="U72" s="399"/>
      <c r="V72" s="399">
        <v>27339.890650000001</v>
      </c>
      <c r="W72" s="399">
        <v>27339.890650000001</v>
      </c>
      <c r="X72" s="399">
        <v>20461.296259999999</v>
      </c>
      <c r="Y72" s="399">
        <v>0</v>
      </c>
      <c r="Z72" s="399">
        <v>2639.9957698780709</v>
      </c>
      <c r="AA72" s="399">
        <v>0</v>
      </c>
      <c r="AB72" s="399">
        <v>0</v>
      </c>
      <c r="AC72" s="399">
        <v>0</v>
      </c>
      <c r="AD72" s="399">
        <v>3509.7533541371945</v>
      </c>
      <c r="AE72" s="399">
        <v>10782.61604499575</v>
      </c>
      <c r="AF72" s="399">
        <v>8699.9167553105763</v>
      </c>
      <c r="AG72" s="399">
        <v>217.71251347740798</v>
      </c>
      <c r="AH72" s="399">
        <v>0</v>
      </c>
      <c r="AI72" s="399">
        <v>0</v>
      </c>
      <c r="AJ72" s="399">
        <v>0</v>
      </c>
      <c r="AK72" s="399">
        <v>0</v>
      </c>
      <c r="AL72" s="399">
        <v>407.99502527968889</v>
      </c>
      <c r="AM72" s="399"/>
      <c r="AN72" s="399">
        <v>46.845325999744929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1035.3380400561869</v>
      </c>
      <c r="BH72" s="399">
        <v>0</v>
      </c>
      <c r="BI72" s="399">
        <v>139.43</v>
      </c>
      <c r="BJ72" s="399">
        <v>641.75</v>
      </c>
      <c r="BK72" s="399">
        <v>9129.93</v>
      </c>
      <c r="BL72" s="399">
        <v>41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9735.2547953667636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20462.714</v>
      </c>
      <c r="CJ72" s="399">
        <v>-6877.2066499999964</v>
      </c>
      <c r="CK72" s="399"/>
      <c r="CL72" s="399"/>
      <c r="CM72" s="399"/>
      <c r="CN72" s="399"/>
      <c r="CO72" s="399">
        <v>-7359.1910899999993</v>
      </c>
      <c r="CP72" s="399">
        <v>480.59669999999971</v>
      </c>
      <c r="CQ72" s="399">
        <v>31</v>
      </c>
      <c r="CR72" s="399">
        <v>-300.83777717282828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-438.47988126952714</v>
      </c>
      <c r="DA72" s="399">
        <v>0</v>
      </c>
      <c r="DB72" s="399">
        <v>0</v>
      </c>
      <c r="DC72" s="399">
        <v>480.47197954389048</v>
      </c>
      <c r="DD72" s="399">
        <v>0</v>
      </c>
      <c r="DE72" s="399">
        <v>0</v>
      </c>
      <c r="DF72" s="399">
        <v>0</v>
      </c>
      <c r="DG72" s="399">
        <v>57.178813498333739</v>
      </c>
      <c r="DH72" s="399">
        <v>0</v>
      </c>
      <c r="DI72" s="399">
        <v>-345.95825487130878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-45.552051855503123</v>
      </c>
      <c r="DP72" s="399">
        <v>-8.4983822187155837</v>
      </c>
      <c r="DQ72" s="399">
        <v>0</v>
      </c>
      <c r="DR72" s="399">
        <v>0</v>
      </c>
      <c r="DS72" s="399"/>
      <c r="DT72" s="399"/>
      <c r="DU72" s="399"/>
      <c r="DV72" s="399">
        <v>10782.61604499575</v>
      </c>
      <c r="DW72" s="399">
        <v>0</v>
      </c>
      <c r="DX72" s="399">
        <v>0</v>
      </c>
      <c r="DY72" s="399">
        <v>-7359.1910900000003</v>
      </c>
      <c r="DZ72" s="399">
        <v>480.59670000000006</v>
      </c>
      <c r="EA72" s="399">
        <v>0</v>
      </c>
      <c r="EB72" s="399">
        <v>0</v>
      </c>
      <c r="EC72" s="399">
        <v>-6578.112637862635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227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2334</v>
      </c>
      <c r="D73" s="399" t="s">
        <v>533</v>
      </c>
      <c r="E73" s="399" t="s">
        <v>890</v>
      </c>
      <c r="F73" s="399" t="s">
        <v>1239</v>
      </c>
      <c r="G73" s="399" t="s">
        <v>1239</v>
      </c>
      <c r="H73" s="399" t="s">
        <v>1239</v>
      </c>
      <c r="I73" s="399" t="s">
        <v>893</v>
      </c>
      <c r="J73" s="399" t="s">
        <v>2329</v>
      </c>
      <c r="K73" s="789">
        <v>44562</v>
      </c>
      <c r="L73" s="399">
        <v>0</v>
      </c>
      <c r="M73" s="399">
        <v>0</v>
      </c>
      <c r="N73" s="399">
        <v>13.763</v>
      </c>
      <c r="O73" s="399">
        <v>13.763</v>
      </c>
      <c r="P73" s="399">
        <v>13.763</v>
      </c>
      <c r="Q73" s="399">
        <v>13.763</v>
      </c>
      <c r="R73" s="399"/>
      <c r="S73" s="399">
        <v>2109.83</v>
      </c>
      <c r="T73" s="399">
        <v>205.96</v>
      </c>
      <c r="U73" s="399"/>
      <c r="V73" s="399">
        <v>31872.217769999999</v>
      </c>
      <c r="W73" s="399">
        <v>31872.217769999999</v>
      </c>
      <c r="X73" s="399">
        <v>18807.96528</v>
      </c>
      <c r="Y73" s="399">
        <v>0</v>
      </c>
      <c r="Z73" s="399">
        <v>730.09233317143776</v>
      </c>
      <c r="AA73" s="399">
        <v>0</v>
      </c>
      <c r="AB73" s="399">
        <v>0</v>
      </c>
      <c r="AC73" s="399">
        <v>0</v>
      </c>
      <c r="AD73" s="399">
        <v>8235.4496285398509</v>
      </c>
      <c r="AE73" s="399">
        <v>19806.744730941704</v>
      </c>
      <c r="AF73" s="399">
        <v>2765.4792318945765</v>
      </c>
      <c r="AG73" s="399">
        <v>69.205194886240761</v>
      </c>
      <c r="AH73" s="399">
        <v>0</v>
      </c>
      <c r="AI73" s="399">
        <v>0</v>
      </c>
      <c r="AJ73" s="399">
        <v>0</v>
      </c>
      <c r="AK73" s="399">
        <v>0</v>
      </c>
      <c r="AL73" s="399">
        <v>129.69109945087092</v>
      </c>
      <c r="AM73" s="399"/>
      <c r="AN73" s="399">
        <v>8.4982764788958125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127.0672807428748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2892.5465126374511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18803.865599999997</v>
      </c>
      <c r="CJ73" s="399">
        <v>-13068.382169999997</v>
      </c>
      <c r="CK73" s="399"/>
      <c r="CL73" s="399"/>
      <c r="CM73" s="399"/>
      <c r="CN73" s="399"/>
      <c r="CO73" s="399">
        <v>-13217.021789999999</v>
      </c>
      <c r="CP73" s="399">
        <v>152.76929999999993</v>
      </c>
      <c r="CQ73" s="399">
        <v>31</v>
      </c>
      <c r="CR73" s="399">
        <v>-980.81898187857223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-1028.8697270042303</v>
      </c>
      <c r="DA73" s="399">
        <v>0</v>
      </c>
      <c r="DB73" s="399">
        <v>0</v>
      </c>
      <c r="DC73" s="399">
        <v>152.72965458259341</v>
      </c>
      <c r="DD73" s="399">
        <v>0</v>
      </c>
      <c r="DE73" s="399">
        <v>0</v>
      </c>
      <c r="DF73" s="399">
        <v>0</v>
      </c>
      <c r="DG73" s="399">
        <v>7.017569205650517</v>
      </c>
      <c r="DH73" s="399">
        <v>0</v>
      </c>
      <c r="DI73" s="399">
        <v>-95.674952346827922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-14.479822844245319</v>
      </c>
      <c r="DP73" s="399">
        <v>-1.5417034715132614</v>
      </c>
      <c r="DQ73" s="399">
        <v>0</v>
      </c>
      <c r="DR73" s="399">
        <v>0</v>
      </c>
      <c r="DS73" s="399"/>
      <c r="DT73" s="399"/>
      <c r="DU73" s="399"/>
      <c r="DV73" s="399">
        <v>19806.744730941704</v>
      </c>
      <c r="DW73" s="399">
        <v>0</v>
      </c>
      <c r="DX73" s="399">
        <v>0</v>
      </c>
      <c r="DY73" s="399">
        <v>-13217.021790000001</v>
      </c>
      <c r="DZ73" s="399">
        <v>152.76929999999993</v>
      </c>
      <c r="EA73" s="399">
        <v>0</v>
      </c>
      <c r="EB73" s="399">
        <v>0</v>
      </c>
      <c r="EC73" s="399">
        <v>-12083.431078860965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227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2334</v>
      </c>
      <c r="D74" s="399" t="s">
        <v>533</v>
      </c>
      <c r="E74" s="399" t="s">
        <v>890</v>
      </c>
      <c r="F74" s="399" t="s">
        <v>1239</v>
      </c>
      <c r="G74" s="399" t="s">
        <v>1239</v>
      </c>
      <c r="H74" s="399" t="s">
        <v>1239</v>
      </c>
      <c r="I74" s="399" t="s">
        <v>2326</v>
      </c>
      <c r="J74" s="399" t="s">
        <v>2329</v>
      </c>
      <c r="K74" s="789">
        <v>44562</v>
      </c>
      <c r="L74" s="399">
        <v>0</v>
      </c>
      <c r="M74" s="399">
        <v>0</v>
      </c>
      <c r="N74" s="399">
        <v>351.05</v>
      </c>
      <c r="O74" s="399">
        <v>351.05</v>
      </c>
      <c r="P74" s="399">
        <v>351.05</v>
      </c>
      <c r="Q74" s="399">
        <v>351.05</v>
      </c>
      <c r="R74" s="399"/>
      <c r="S74" s="399">
        <v>72.319999999999993</v>
      </c>
      <c r="T74" s="399">
        <v>205.96</v>
      </c>
      <c r="U74" s="399"/>
      <c r="V74" s="399">
        <v>97690.194000000003</v>
      </c>
      <c r="W74" s="399">
        <v>97690.194000000003</v>
      </c>
      <c r="X74" s="399">
        <v>98915.358500000002</v>
      </c>
      <c r="Y74" s="399">
        <v>0</v>
      </c>
      <c r="Z74" s="399">
        <v>18622.31443434086</v>
      </c>
      <c r="AA74" s="399">
        <v>0</v>
      </c>
      <c r="AB74" s="399">
        <v>0</v>
      </c>
      <c r="AC74" s="399">
        <v>0</v>
      </c>
      <c r="AD74" s="399">
        <v>0</v>
      </c>
      <c r="AE74" s="399">
        <v>0</v>
      </c>
      <c r="AF74" s="399">
        <v>70538.507909365042</v>
      </c>
      <c r="AG74" s="399">
        <v>1765.202620418137</v>
      </c>
      <c r="AH74" s="399">
        <v>0</v>
      </c>
      <c r="AI74" s="399">
        <v>0</v>
      </c>
      <c r="AJ74" s="399">
        <v>0</v>
      </c>
      <c r="AK74" s="399">
        <v>0</v>
      </c>
      <c r="AL74" s="399">
        <v>3308.0041024651778</v>
      </c>
      <c r="AM74" s="399"/>
      <c r="AN74" s="399">
        <v>216.76378390731492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3241.0789002968972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73779.586809661938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98915.358500000002</v>
      </c>
      <c r="CJ74" s="399">
        <v>1225.1345000000147</v>
      </c>
      <c r="CK74" s="399"/>
      <c r="CL74" s="399"/>
      <c r="CM74" s="399"/>
      <c r="CN74" s="399"/>
      <c r="CO74" s="399">
        <v>-2671.4904999999999</v>
      </c>
      <c r="CP74" s="399">
        <v>3896.6549999999979</v>
      </c>
      <c r="CQ74" s="399">
        <v>31</v>
      </c>
      <c r="CR74" s="399">
        <v>1225.6204371403146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0</v>
      </c>
      <c r="DA74" s="399">
        <v>0</v>
      </c>
      <c r="DB74" s="399">
        <v>0</v>
      </c>
      <c r="DC74" s="399">
        <v>3895.6437725219439</v>
      </c>
      <c r="DD74" s="399">
        <v>0</v>
      </c>
      <c r="DE74" s="399">
        <v>0</v>
      </c>
      <c r="DF74" s="399">
        <v>0</v>
      </c>
      <c r="DG74" s="399">
        <v>178.99568914071187</v>
      </c>
      <c r="DH74" s="399">
        <v>0</v>
      </c>
      <c r="DI74" s="399">
        <v>-2440.3612599981097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-369.33385231943066</v>
      </c>
      <c r="DP74" s="399">
        <v>-39.323912204804969</v>
      </c>
      <c r="DQ74" s="399">
        <v>0</v>
      </c>
      <c r="DR74" s="399">
        <v>0</v>
      </c>
      <c r="DS74" s="399"/>
      <c r="DT74" s="399"/>
      <c r="DU74" s="399"/>
      <c r="DV74" s="399">
        <v>0</v>
      </c>
      <c r="DW74" s="399">
        <v>0</v>
      </c>
      <c r="DX74" s="399">
        <v>0</v>
      </c>
      <c r="DY74" s="399">
        <v>-2671.4904999999999</v>
      </c>
      <c r="DZ74" s="399">
        <v>3896.6549999999988</v>
      </c>
      <c r="EA74" s="399">
        <v>0</v>
      </c>
      <c r="EB74" s="399">
        <v>0</v>
      </c>
      <c r="EC74" s="399">
        <v>0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227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956</v>
      </c>
      <c r="C75" s="399" t="s">
        <v>2334</v>
      </c>
      <c r="D75" s="399" t="s">
        <v>533</v>
      </c>
      <c r="E75" s="399" t="s">
        <v>890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2329</v>
      </c>
      <c r="K75" s="789">
        <v>44562</v>
      </c>
      <c r="L75" s="399">
        <v>2283</v>
      </c>
      <c r="M75" s="399">
        <v>2283</v>
      </c>
      <c r="N75" s="399">
        <v>0</v>
      </c>
      <c r="O75" s="399">
        <v>0</v>
      </c>
      <c r="P75" s="399">
        <v>0</v>
      </c>
      <c r="Q75" s="399">
        <v>0</v>
      </c>
      <c r="R75" s="399">
        <v>26.79</v>
      </c>
      <c r="S75" s="399"/>
      <c r="T75" s="399"/>
      <c r="U75" s="399">
        <v>61161.57</v>
      </c>
      <c r="V75" s="399"/>
      <c r="W75" s="399">
        <v>61161.57</v>
      </c>
      <c r="X75" s="399">
        <v>34998.39</v>
      </c>
      <c r="Y75" s="399">
        <v>0</v>
      </c>
      <c r="Z75" s="399">
        <v>0</v>
      </c>
      <c r="AA75" s="399">
        <v>0</v>
      </c>
      <c r="AB75" s="399">
        <v>0</v>
      </c>
      <c r="AC75" s="399">
        <v>0</v>
      </c>
      <c r="AD75" s="399">
        <v>22995.707061211291</v>
      </c>
      <c r="AE75" s="399">
        <v>38173.672733718653</v>
      </c>
      <c r="AF75" s="399"/>
      <c r="AG75" s="399"/>
      <c r="AH75" s="399"/>
      <c r="AI75" s="399">
        <v>0</v>
      </c>
      <c r="AJ75" s="399">
        <v>0</v>
      </c>
      <c r="AK75" s="399">
        <v>0</v>
      </c>
      <c r="AL75" s="399">
        <v>0</v>
      </c>
      <c r="AM75" s="399"/>
      <c r="AN75" s="399">
        <v>0</v>
      </c>
      <c r="AO75" s="399">
        <v>0</v>
      </c>
      <c r="AP75" s="399">
        <v>0</v>
      </c>
      <c r="AQ75" s="399">
        <v>0</v>
      </c>
      <c r="AR75" s="399">
        <v>0</v>
      </c>
      <c r="AS75" s="399"/>
      <c r="AT75" s="399"/>
      <c r="AU75" s="399">
        <v>0</v>
      </c>
      <c r="AV75" s="399">
        <v>0</v>
      </c>
      <c r="AW75" s="399">
        <v>0</v>
      </c>
      <c r="AX75" s="399"/>
      <c r="AY75" s="399"/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/>
      <c r="BG75" s="399">
        <v>0</v>
      </c>
      <c r="BH75" s="399">
        <v>0</v>
      </c>
      <c r="BI75" s="399">
        <v>693.75</v>
      </c>
      <c r="BJ75" s="399">
        <v>3171.07</v>
      </c>
      <c r="BK75" s="399">
        <v>69755.08</v>
      </c>
      <c r="BL75" s="399">
        <v>12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0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34998.39</v>
      </c>
      <c r="CJ75" s="399">
        <v>-26163.210000000006</v>
      </c>
      <c r="CK75" s="399"/>
      <c r="CL75" s="399"/>
      <c r="CM75" s="399"/>
      <c r="CN75" s="399"/>
      <c r="CO75" s="399">
        <v>-26163.179999999997</v>
      </c>
      <c r="CP75" s="399">
        <v>0</v>
      </c>
      <c r="CQ75" s="399">
        <v>31</v>
      </c>
      <c r="CR75" s="399">
        <v>-2872.8955811163396</v>
      </c>
      <c r="CS75" s="399">
        <v>0</v>
      </c>
      <c r="CT75" s="399">
        <v>0</v>
      </c>
      <c r="CU75" s="399">
        <v>0</v>
      </c>
      <c r="CV75" s="399">
        <v>0</v>
      </c>
      <c r="CW75" s="399"/>
      <c r="CX75" s="399"/>
      <c r="CY75" s="399"/>
      <c r="CZ75" s="399">
        <v>-2872.8955811163396</v>
      </c>
      <c r="DA75" s="399">
        <v>0</v>
      </c>
      <c r="DB75" s="399">
        <v>0</v>
      </c>
      <c r="DC75" s="399"/>
      <c r="DD75" s="399"/>
      <c r="DE75" s="399">
        <v>0</v>
      </c>
      <c r="DF75" s="399">
        <v>0</v>
      </c>
      <c r="DG75" s="399">
        <v>0</v>
      </c>
      <c r="DH75" s="399">
        <v>0</v>
      </c>
      <c r="DI75" s="399">
        <v>0</v>
      </c>
      <c r="DJ75" s="399"/>
      <c r="DK75" s="399">
        <v>0</v>
      </c>
      <c r="DL75" s="399">
        <v>0</v>
      </c>
      <c r="DM75" s="399"/>
      <c r="DN75" s="399">
        <v>0</v>
      </c>
      <c r="DO75" s="399">
        <v>0</v>
      </c>
      <c r="DP75" s="399">
        <v>0</v>
      </c>
      <c r="DQ75" s="399">
        <v>0</v>
      </c>
      <c r="DR75" s="399">
        <v>0</v>
      </c>
      <c r="DS75" s="399"/>
      <c r="DT75" s="399"/>
      <c r="DU75" s="399">
        <v>38173.672733718653</v>
      </c>
      <c r="DV75" s="399"/>
      <c r="DW75" s="399">
        <v>0</v>
      </c>
      <c r="DX75" s="399">
        <v>0</v>
      </c>
      <c r="DY75" s="399">
        <v>-26163.18</v>
      </c>
      <c r="DZ75" s="399"/>
      <c r="EA75" s="399">
        <v>0</v>
      </c>
      <c r="EB75" s="399"/>
      <c r="EC75" s="399">
        <v>-23288.478231574292</v>
      </c>
      <c r="ED75" s="399"/>
      <c r="EE75" s="399">
        <v>0</v>
      </c>
      <c r="EF75" s="399">
        <v>0</v>
      </c>
      <c r="EG75" s="399"/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/>
      <c r="EN75" s="399"/>
      <c r="EO75" s="399">
        <v>0</v>
      </c>
      <c r="EP75" s="399">
        <v>0</v>
      </c>
      <c r="EQ75" s="399"/>
      <c r="ER75" s="399">
        <v>0</v>
      </c>
      <c r="ES75" s="399"/>
      <c r="ET75" s="399">
        <v>0</v>
      </c>
      <c r="EU75" s="399"/>
      <c r="EV75" s="399">
        <v>227</v>
      </c>
      <c r="EW75" s="399"/>
      <c r="EX75" s="399"/>
      <c r="EY75" s="399"/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2328</v>
      </c>
      <c r="D76" s="399" t="s">
        <v>1826</v>
      </c>
      <c r="E76" s="399" t="s">
        <v>918</v>
      </c>
      <c r="F76" s="399" t="s">
        <v>1239</v>
      </c>
      <c r="G76" s="399" t="s">
        <v>1239</v>
      </c>
      <c r="H76" s="399" t="s">
        <v>1239</v>
      </c>
      <c r="I76" s="399" t="s">
        <v>1239</v>
      </c>
      <c r="J76" s="399" t="s">
        <v>2329</v>
      </c>
      <c r="K76" s="789">
        <v>44562</v>
      </c>
      <c r="L76" s="399">
        <v>0</v>
      </c>
      <c r="M76" s="399">
        <v>0</v>
      </c>
      <c r="N76" s="399">
        <v>13.776999999999999</v>
      </c>
      <c r="O76" s="399">
        <v>13.776999999999999</v>
      </c>
      <c r="P76" s="399">
        <v>13.776999999999999</v>
      </c>
      <c r="Q76" s="399">
        <v>13.776999999999999</v>
      </c>
      <c r="R76" s="399"/>
      <c r="S76" s="399">
        <v>425.49</v>
      </c>
      <c r="T76" s="399">
        <v>205.96</v>
      </c>
      <c r="U76" s="399"/>
      <c r="V76" s="399">
        <v>8699.4866500000007</v>
      </c>
      <c r="W76" s="399">
        <v>8699.4866500000007</v>
      </c>
      <c r="X76" s="399">
        <v>6510.7346600000001</v>
      </c>
      <c r="Y76" s="399">
        <v>0</v>
      </c>
      <c r="Z76" s="399">
        <v>840.04022730466738</v>
      </c>
      <c r="AA76" s="399">
        <v>0</v>
      </c>
      <c r="AB76" s="399">
        <v>0</v>
      </c>
      <c r="AC76" s="399">
        <v>0</v>
      </c>
      <c r="AD76" s="399">
        <v>1116.7949733225889</v>
      </c>
      <c r="AE76" s="399">
        <v>3431.0021768692159</v>
      </c>
      <c r="AF76" s="399">
        <v>2768.2923329079108</v>
      </c>
      <c r="AG76" s="399">
        <v>69.275591800315254</v>
      </c>
      <c r="AH76" s="399">
        <v>0</v>
      </c>
      <c r="AI76" s="399">
        <v>0</v>
      </c>
      <c r="AJ76" s="399">
        <v>0</v>
      </c>
      <c r="AK76" s="399">
        <v>0</v>
      </c>
      <c r="AL76" s="399">
        <v>129.82302384179675</v>
      </c>
      <c r="AM76" s="399"/>
      <c r="AN76" s="399">
        <v>14.906068695255698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329.44204397196307</v>
      </c>
      <c r="BH76" s="399">
        <v>0</v>
      </c>
      <c r="BI76" s="399">
        <v>52.49</v>
      </c>
      <c r="BJ76" s="399">
        <v>243.18</v>
      </c>
      <c r="BK76" s="399">
        <v>2889.24</v>
      </c>
      <c r="BL76" s="399">
        <v>53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3097.7343768798737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6512.1523999999999</v>
      </c>
      <c r="CJ76" s="399">
        <v>-2187.3642500000014</v>
      </c>
      <c r="CK76" s="399"/>
      <c r="CL76" s="399"/>
      <c r="CM76" s="399"/>
      <c r="CN76" s="399"/>
      <c r="CO76" s="399">
        <v>-2341.6766899999998</v>
      </c>
      <c r="CP76" s="399">
        <v>152.92469999999992</v>
      </c>
      <c r="CQ76" s="399">
        <v>31</v>
      </c>
      <c r="CR76" s="399">
        <v>-95.725848352311914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-139.5232308069908</v>
      </c>
      <c r="DA76" s="399">
        <v>0</v>
      </c>
      <c r="DB76" s="399">
        <v>0</v>
      </c>
      <c r="DC76" s="399">
        <v>152.88501425447885</v>
      </c>
      <c r="DD76" s="399">
        <v>0</v>
      </c>
      <c r="DE76" s="399">
        <v>0</v>
      </c>
      <c r="DF76" s="399">
        <v>0</v>
      </c>
      <c r="DG76" s="399">
        <v>18.194159261993775</v>
      </c>
      <c r="DH76" s="399">
        <v>0</v>
      </c>
      <c r="DI76" s="399">
        <v>-110.08307451698784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-14.494552010838333</v>
      </c>
      <c r="DP76" s="399">
        <v>-2.7041645339687417</v>
      </c>
      <c r="DQ76" s="399">
        <v>0</v>
      </c>
      <c r="DR76" s="399">
        <v>0</v>
      </c>
      <c r="DS76" s="399"/>
      <c r="DT76" s="399"/>
      <c r="DU76" s="399"/>
      <c r="DV76" s="399">
        <v>3431.0021768692159</v>
      </c>
      <c r="DW76" s="399">
        <v>0</v>
      </c>
      <c r="DX76" s="399">
        <v>0</v>
      </c>
      <c r="DY76" s="399">
        <v>-2341.6766900000002</v>
      </c>
      <c r="DZ76" s="399">
        <v>152.92469999999958</v>
      </c>
      <c r="EA76" s="399">
        <v>0</v>
      </c>
      <c r="EB76" s="399">
        <v>0</v>
      </c>
      <c r="EC76" s="399">
        <v>-2093.1394279472834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227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2328</v>
      </c>
      <c r="D77" s="399" t="s">
        <v>2335</v>
      </c>
      <c r="E77" s="399" t="s">
        <v>894</v>
      </c>
      <c r="F77" s="399" t="s">
        <v>1239</v>
      </c>
      <c r="G77" s="399" t="s">
        <v>1239</v>
      </c>
      <c r="H77" s="399" t="s">
        <v>1239</v>
      </c>
      <c r="I77" s="399" t="s">
        <v>1239</v>
      </c>
      <c r="J77" s="399" t="s">
        <v>2329</v>
      </c>
      <c r="K77" s="789">
        <v>44562</v>
      </c>
      <c r="L77" s="399">
        <v>0</v>
      </c>
      <c r="M77" s="399">
        <v>0</v>
      </c>
      <c r="N77" s="399">
        <v>72.587000000000003</v>
      </c>
      <c r="O77" s="399">
        <v>72.587000000000003</v>
      </c>
      <c r="P77" s="399">
        <v>72.587000000000003</v>
      </c>
      <c r="Q77" s="399">
        <v>72.587000000000003</v>
      </c>
      <c r="R77" s="399"/>
      <c r="S77" s="399">
        <v>425.49</v>
      </c>
      <c r="T77" s="399">
        <v>205.96</v>
      </c>
      <c r="U77" s="399"/>
      <c r="V77" s="399">
        <v>45835.061150000009</v>
      </c>
      <c r="W77" s="399">
        <v>45835.061150000009</v>
      </c>
      <c r="X77" s="399">
        <v>34303.16446</v>
      </c>
      <c r="Y77" s="399">
        <v>0</v>
      </c>
      <c r="Z77" s="399">
        <v>4425.9272685899614</v>
      </c>
      <c r="AA77" s="399">
        <v>0</v>
      </c>
      <c r="AB77" s="399">
        <v>0</v>
      </c>
      <c r="AC77" s="399">
        <v>0</v>
      </c>
      <c r="AD77" s="399">
        <v>5884.0674115240445</v>
      </c>
      <c r="AE77" s="399">
        <v>18076.951078783903</v>
      </c>
      <c r="AF77" s="399">
        <v>14585.325946779891</v>
      </c>
      <c r="AG77" s="399">
        <v>364.99291442327677</v>
      </c>
      <c r="AH77" s="399">
        <v>0</v>
      </c>
      <c r="AI77" s="399">
        <v>0</v>
      </c>
      <c r="AJ77" s="399">
        <v>0</v>
      </c>
      <c r="AK77" s="399">
        <v>0</v>
      </c>
      <c r="AL77" s="399">
        <v>683.99969743808526</v>
      </c>
      <c r="AM77" s="399"/>
      <c r="AN77" s="399">
        <v>78.535734077268302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1735.7341689622478</v>
      </c>
      <c r="BH77" s="399">
        <v>0</v>
      </c>
      <c r="BI77" s="399">
        <v>117.52</v>
      </c>
      <c r="BJ77" s="399">
        <v>543.22</v>
      </c>
      <c r="BK77" s="399">
        <v>6629.52</v>
      </c>
      <c r="BL77" s="399">
        <v>246</v>
      </c>
      <c r="BM77" s="399"/>
      <c r="BN77" s="399"/>
      <c r="BO77" s="399"/>
      <c r="BP77" s="399"/>
      <c r="BQ77" s="399"/>
      <c r="BR77" s="399">
        <v>4117.134640000002</v>
      </c>
      <c r="BS77" s="399"/>
      <c r="BT77" s="399"/>
      <c r="BU77" s="399"/>
      <c r="BV77" s="399">
        <v>16321.060115742139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30187.277399999999</v>
      </c>
      <c r="CJ77" s="399">
        <v>-10147.896760000003</v>
      </c>
      <c r="CK77" s="399"/>
      <c r="CL77" s="399"/>
      <c r="CM77" s="399"/>
      <c r="CN77" s="399"/>
      <c r="CO77" s="399">
        <v>-12337.61239</v>
      </c>
      <c r="CP77" s="399">
        <v>805.71569999999963</v>
      </c>
      <c r="CQ77" s="399">
        <v>31</v>
      </c>
      <c r="CR77" s="399">
        <v>-504.3516116969804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-735.10726243645422</v>
      </c>
      <c r="DA77" s="399">
        <v>0</v>
      </c>
      <c r="DB77" s="399">
        <v>0</v>
      </c>
      <c r="DC77" s="399">
        <v>805.50660736661484</v>
      </c>
      <c r="DD77" s="399">
        <v>0</v>
      </c>
      <c r="DE77" s="399">
        <v>0</v>
      </c>
      <c r="DF77" s="399">
        <v>0</v>
      </c>
      <c r="DG77" s="399">
        <v>95.859725509932332</v>
      </c>
      <c r="DH77" s="399">
        <v>0</v>
      </c>
      <c r="DI77" s="399">
        <v>-579.99565434888564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-76.367572534711485</v>
      </c>
      <c r="DP77" s="399">
        <v>-14.247455253479643</v>
      </c>
      <c r="DQ77" s="399">
        <v>0</v>
      </c>
      <c r="DR77" s="399">
        <v>0</v>
      </c>
      <c r="DS77" s="399"/>
      <c r="DT77" s="399"/>
      <c r="DU77" s="399"/>
      <c r="DV77" s="399">
        <v>18076.951078783903</v>
      </c>
      <c r="DW77" s="399">
        <v>0</v>
      </c>
      <c r="DX77" s="399">
        <v>0</v>
      </c>
      <c r="DY77" s="399">
        <v>-12337.612390000002</v>
      </c>
      <c r="DZ77" s="399">
        <v>805.71569999999883</v>
      </c>
      <c r="EA77" s="399">
        <v>0</v>
      </c>
      <c r="EB77" s="399">
        <v>0</v>
      </c>
      <c r="EC77" s="399">
        <v>-11028.141950817268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227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2328</v>
      </c>
      <c r="D78" s="399" t="s">
        <v>1826</v>
      </c>
      <c r="E78" s="399" t="s">
        <v>2336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2329</v>
      </c>
      <c r="K78" s="789">
        <v>44562</v>
      </c>
      <c r="L78" s="399">
        <v>0</v>
      </c>
      <c r="M78" s="399">
        <v>0</v>
      </c>
      <c r="N78" s="399">
        <v>2.0569999999999999</v>
      </c>
      <c r="O78" s="399">
        <v>2.0569999999999999</v>
      </c>
      <c r="P78" s="399">
        <v>2.0569999999999999</v>
      </c>
      <c r="Q78" s="399">
        <v>2.0569999999999999</v>
      </c>
      <c r="R78" s="399"/>
      <c r="S78" s="399">
        <v>425.49</v>
      </c>
      <c r="T78" s="399">
        <v>205.96</v>
      </c>
      <c r="U78" s="399"/>
      <c r="V78" s="399">
        <v>1298.89265</v>
      </c>
      <c r="W78" s="399">
        <v>1298.89265</v>
      </c>
      <c r="X78" s="399">
        <v>972.09706000000006</v>
      </c>
      <c r="Y78" s="399">
        <v>0</v>
      </c>
      <c r="Z78" s="399">
        <v>125.42373140492856</v>
      </c>
      <c r="AA78" s="399">
        <v>0</v>
      </c>
      <c r="AB78" s="399">
        <v>0</v>
      </c>
      <c r="AC78" s="399">
        <v>0</v>
      </c>
      <c r="AD78" s="399">
        <v>166.74510126475758</v>
      </c>
      <c r="AE78" s="399">
        <v>512.27200971328864</v>
      </c>
      <c r="AF78" s="399">
        <v>413.32491317351912</v>
      </c>
      <c r="AG78" s="399">
        <v>10.343318017946469</v>
      </c>
      <c r="AH78" s="399">
        <v>0</v>
      </c>
      <c r="AI78" s="399">
        <v>0</v>
      </c>
      <c r="AJ78" s="399">
        <v>0</v>
      </c>
      <c r="AK78" s="399">
        <v>0</v>
      </c>
      <c r="AL78" s="399">
        <v>19.383462295316537</v>
      </c>
      <c r="AM78" s="399"/>
      <c r="AN78" s="399">
        <v>2.2255776516034675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49.187942545570742</v>
      </c>
      <c r="BH78" s="399">
        <v>0</v>
      </c>
      <c r="BI78" s="399">
        <v>11.43</v>
      </c>
      <c r="BJ78" s="399">
        <v>53.17</v>
      </c>
      <c r="BK78" s="399">
        <v>442.85</v>
      </c>
      <c r="BL78" s="399">
        <v>13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462.51285571908988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973.51480000000004</v>
      </c>
      <c r="CJ78" s="399">
        <v>-325.40784999999994</v>
      </c>
      <c r="CK78" s="399"/>
      <c r="CL78" s="399"/>
      <c r="CM78" s="399"/>
      <c r="CN78" s="399"/>
      <c r="CO78" s="399">
        <v>-349.62828999999999</v>
      </c>
      <c r="CP78" s="399">
        <v>22.832699999999988</v>
      </c>
      <c r="CQ78" s="399">
        <v>31</v>
      </c>
      <c r="CR78" s="399">
        <v>-14.292521598367557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-20.831769308991795</v>
      </c>
      <c r="DA78" s="399">
        <v>0</v>
      </c>
      <c r="DB78" s="399">
        <v>0</v>
      </c>
      <c r="DC78" s="399">
        <v>22.826774647707225</v>
      </c>
      <c r="DD78" s="399">
        <v>0</v>
      </c>
      <c r="DE78" s="399">
        <v>0</v>
      </c>
      <c r="DF78" s="399">
        <v>0</v>
      </c>
      <c r="DG78" s="399">
        <v>2.7165119838804586</v>
      </c>
      <c r="DH78" s="399">
        <v>0</v>
      </c>
      <c r="DI78" s="399">
        <v>-16.436153319405079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-2.1641354058426678</v>
      </c>
      <c r="DP78" s="399">
        <v>-0.40375019571559156</v>
      </c>
      <c r="DQ78" s="399">
        <v>0</v>
      </c>
      <c r="DR78" s="399">
        <v>0</v>
      </c>
      <c r="DS78" s="399"/>
      <c r="DT78" s="399"/>
      <c r="DU78" s="399"/>
      <c r="DV78" s="399">
        <v>512.27200971328864</v>
      </c>
      <c r="DW78" s="399">
        <v>0</v>
      </c>
      <c r="DX78" s="399">
        <v>0</v>
      </c>
      <c r="DY78" s="399">
        <v>-349.62828999999999</v>
      </c>
      <c r="DZ78" s="399">
        <v>22.832699999999988</v>
      </c>
      <c r="EA78" s="399">
        <v>0</v>
      </c>
      <c r="EB78" s="399">
        <v>0</v>
      </c>
      <c r="EC78" s="399">
        <v>-312.51998281828861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227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2328</v>
      </c>
      <c r="D79" s="399" t="s">
        <v>2337</v>
      </c>
      <c r="E79" s="399" t="s">
        <v>2338</v>
      </c>
      <c r="F79" s="399" t="s">
        <v>2339</v>
      </c>
      <c r="G79" s="399" t="s">
        <v>1239</v>
      </c>
      <c r="H79" s="399" t="s">
        <v>1239</v>
      </c>
      <c r="I79" s="399" t="s">
        <v>1239</v>
      </c>
      <c r="J79" s="399" t="s">
        <v>2329</v>
      </c>
      <c r="K79" s="789">
        <v>44562</v>
      </c>
      <c r="L79" s="399">
        <v>0</v>
      </c>
      <c r="M79" s="399">
        <v>0</v>
      </c>
      <c r="N79" s="399">
        <v>19.234999999999999</v>
      </c>
      <c r="O79" s="399">
        <v>19.234999999999999</v>
      </c>
      <c r="P79" s="399">
        <v>19.234999999999999</v>
      </c>
      <c r="Q79" s="399">
        <v>19.234999999999999</v>
      </c>
      <c r="R79" s="399"/>
      <c r="S79" s="399">
        <v>234.02</v>
      </c>
      <c r="T79" s="399">
        <v>113.28</v>
      </c>
      <c r="U79" s="399"/>
      <c r="V79" s="399">
        <v>6680.3155000000006</v>
      </c>
      <c r="W79" s="399">
        <v>6680.3155000000006</v>
      </c>
      <c r="X79" s="399">
        <v>4999.3688499999998</v>
      </c>
      <c r="Y79" s="399">
        <v>0</v>
      </c>
      <c r="Z79" s="399">
        <v>645.06028705181791</v>
      </c>
      <c r="AA79" s="399">
        <v>0</v>
      </c>
      <c r="AB79" s="399">
        <v>0</v>
      </c>
      <c r="AC79" s="399">
        <v>0</v>
      </c>
      <c r="AD79" s="399">
        <v>857.57808096995029</v>
      </c>
      <c r="AE79" s="399">
        <v>2634.639600758042</v>
      </c>
      <c r="AF79" s="399">
        <v>2125.7499210942819</v>
      </c>
      <c r="AG79" s="399">
        <v>53.196182373048153</v>
      </c>
      <c r="AH79" s="399">
        <v>0</v>
      </c>
      <c r="AI79" s="399">
        <v>0</v>
      </c>
      <c r="AJ79" s="399">
        <v>0</v>
      </c>
      <c r="AK79" s="399">
        <v>0</v>
      </c>
      <c r="AL79" s="399">
        <v>99.690079478720207</v>
      </c>
      <c r="AM79" s="399"/>
      <c r="AN79" s="399">
        <v>11.446252975559561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252.97595584600447</v>
      </c>
      <c r="BH79" s="399">
        <v>0</v>
      </c>
      <c r="BI79" s="399">
        <v>70.42</v>
      </c>
      <c r="BJ79" s="399">
        <v>325.04000000000002</v>
      </c>
      <c r="BK79" s="399">
        <v>2708.72</v>
      </c>
      <c r="BL79" s="399">
        <v>2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2378.7258769402865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5000.6683999999996</v>
      </c>
      <c r="CJ79" s="399">
        <v>-1679.6771000000017</v>
      </c>
      <c r="CK79" s="399"/>
      <c r="CL79" s="399"/>
      <c r="CM79" s="399"/>
      <c r="CN79" s="399"/>
      <c r="CO79" s="399">
        <v>-1798.28015</v>
      </c>
      <c r="CP79" s="399">
        <v>117.33349999999989</v>
      </c>
      <c r="CQ79" s="399">
        <v>31</v>
      </c>
      <c r="CR79" s="399">
        <v>-73.50712645575868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-107.13879215466818</v>
      </c>
      <c r="DA79" s="399">
        <v>0</v>
      </c>
      <c r="DB79" s="399">
        <v>0</v>
      </c>
      <c r="DC79" s="399">
        <v>117.39920062799774</v>
      </c>
      <c r="DD79" s="399">
        <v>0</v>
      </c>
      <c r="DE79" s="399">
        <v>0</v>
      </c>
      <c r="DF79" s="399">
        <v>0</v>
      </c>
      <c r="DG79" s="399">
        <v>13.971151874315069</v>
      </c>
      <c r="DH79" s="399">
        <v>0</v>
      </c>
      <c r="DI79" s="399">
        <v>-84.531927566511627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-11.130252548498405</v>
      </c>
      <c r="DP79" s="399">
        <v>-2.0765066883928966</v>
      </c>
      <c r="DQ79" s="399">
        <v>0</v>
      </c>
      <c r="DR79" s="399">
        <v>0</v>
      </c>
      <c r="DS79" s="399"/>
      <c r="DT79" s="399"/>
      <c r="DU79" s="399"/>
      <c r="DV79" s="399">
        <v>2634.639600758042</v>
      </c>
      <c r="DW79" s="399">
        <v>0</v>
      </c>
      <c r="DX79" s="399">
        <v>0</v>
      </c>
      <c r="DY79" s="399">
        <v>-1798.2801500000005</v>
      </c>
      <c r="DZ79" s="399">
        <v>117.33350000000019</v>
      </c>
      <c r="EA79" s="399">
        <v>0</v>
      </c>
      <c r="EB79" s="399">
        <v>0</v>
      </c>
      <c r="EC79" s="399">
        <v>-1607.3053127031417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227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956</v>
      </c>
      <c r="C80" s="399" t="s">
        <v>2328</v>
      </c>
      <c r="D80" s="399" t="s">
        <v>2335</v>
      </c>
      <c r="E80" s="399" t="s">
        <v>894</v>
      </c>
      <c r="F80" s="399" t="s">
        <v>2342</v>
      </c>
      <c r="G80" s="399" t="s">
        <v>2340</v>
      </c>
      <c r="H80" s="399" t="s">
        <v>1239</v>
      </c>
      <c r="I80" s="399" t="s">
        <v>1239</v>
      </c>
      <c r="J80" s="399" t="s">
        <v>2329</v>
      </c>
      <c r="K80" s="789">
        <v>44562</v>
      </c>
      <c r="L80" s="399">
        <v>0</v>
      </c>
      <c r="M80" s="399">
        <v>0</v>
      </c>
      <c r="N80" s="399">
        <v>0</v>
      </c>
      <c r="O80" s="399">
        <v>0</v>
      </c>
      <c r="P80" s="399">
        <v>0</v>
      </c>
      <c r="Q80" s="399">
        <v>0</v>
      </c>
      <c r="R80" s="399"/>
      <c r="S80" s="399"/>
      <c r="T80" s="399"/>
      <c r="U80" s="399"/>
      <c r="V80" s="399"/>
      <c r="W80" s="399"/>
      <c r="X80" s="399"/>
      <c r="Y80" s="399"/>
      <c r="Z80" s="399"/>
      <c r="AA80" s="399">
        <v>0</v>
      </c>
      <c r="AB80" s="399"/>
      <c r="AC80" s="399"/>
      <c r="AD80" s="399"/>
      <c r="AE80" s="399"/>
      <c r="AF80" s="399"/>
      <c r="AG80" s="399"/>
      <c r="AH80" s="399"/>
      <c r="AI80" s="399"/>
      <c r="AJ80" s="399"/>
      <c r="AK80" s="399"/>
      <c r="AL80" s="399"/>
      <c r="AM80" s="399"/>
      <c r="AN80" s="399"/>
      <c r="AO80" s="399"/>
      <c r="AP80" s="399"/>
      <c r="AQ80" s="399"/>
      <c r="AR80" s="399"/>
      <c r="AS80" s="399"/>
      <c r="AT80" s="399"/>
      <c r="AU80" s="399"/>
      <c r="AV80" s="399"/>
      <c r="AW80" s="399"/>
      <c r="AX80" s="399"/>
      <c r="AY80" s="399"/>
      <c r="AZ80" s="399">
        <v>0</v>
      </c>
      <c r="BA80" s="399"/>
      <c r="BB80" s="399"/>
      <c r="BC80" s="399"/>
      <c r="BD80" s="399"/>
      <c r="BE80" s="399"/>
      <c r="BF80" s="399"/>
      <c r="BG80" s="399"/>
      <c r="BH80" s="399"/>
      <c r="BI80" s="399">
        <v>0.72</v>
      </c>
      <c r="BJ80" s="399">
        <v>3.33</v>
      </c>
      <c r="BK80" s="399">
        <v>46.31</v>
      </c>
      <c r="BL80" s="399">
        <v>1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/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/>
      <c r="CJ80" s="399">
        <v>-0.03</v>
      </c>
      <c r="CK80" s="399"/>
      <c r="CL80" s="399"/>
      <c r="CM80" s="399"/>
      <c r="CN80" s="399"/>
      <c r="CO80" s="399">
        <v>0</v>
      </c>
      <c r="CP80" s="399">
        <v>0</v>
      </c>
      <c r="CQ80" s="399">
        <v>31</v>
      </c>
      <c r="CR80" s="399"/>
      <c r="CS80" s="399"/>
      <c r="CT80" s="399"/>
      <c r="CU80" s="399"/>
      <c r="CV80" s="399"/>
      <c r="CW80" s="399"/>
      <c r="CX80" s="399"/>
      <c r="CY80" s="399"/>
      <c r="CZ80" s="399"/>
      <c r="DA80" s="399"/>
      <c r="DB80" s="399"/>
      <c r="DC80" s="399"/>
      <c r="DD80" s="399"/>
      <c r="DE80" s="399"/>
      <c r="DF80" s="399"/>
      <c r="DG80" s="399"/>
      <c r="DH80" s="399"/>
      <c r="DI80" s="399"/>
      <c r="DJ80" s="399"/>
      <c r="DK80" s="399">
        <v>0</v>
      </c>
      <c r="DL80" s="399"/>
      <c r="DM80" s="399"/>
      <c r="DN80" s="399"/>
      <c r="DO80" s="399"/>
      <c r="DP80" s="399"/>
      <c r="DQ80" s="399"/>
      <c r="DR80" s="399"/>
      <c r="DS80" s="399"/>
      <c r="DT80" s="399"/>
      <c r="DU80" s="399"/>
      <c r="DV80" s="399"/>
      <c r="DW80" s="399"/>
      <c r="DX80" s="399"/>
      <c r="DY80" s="399"/>
      <c r="DZ80" s="399"/>
      <c r="EA80" s="399"/>
      <c r="EB80" s="399"/>
      <c r="EC80" s="399"/>
      <c r="ED80" s="399"/>
      <c r="EE80" s="399"/>
      <c r="EF80" s="399"/>
      <c r="EG80" s="399"/>
      <c r="EH80" s="399"/>
      <c r="EI80" s="399"/>
      <c r="EJ80" s="399"/>
      <c r="EK80" s="399"/>
      <c r="EL80" s="399"/>
      <c r="EM80" s="399"/>
      <c r="EN80" s="399"/>
      <c r="EO80" s="399"/>
      <c r="EP80" s="399"/>
      <c r="EQ80" s="399"/>
      <c r="ER80" s="399"/>
      <c r="ES80" s="399"/>
      <c r="ET80" s="399"/>
      <c r="EU80" s="399"/>
      <c r="EV80" s="399">
        <v>227</v>
      </c>
      <c r="EW80" s="399"/>
      <c r="EX80" s="399"/>
      <c r="EY80" s="399"/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2328</v>
      </c>
      <c r="D81" s="399" t="s">
        <v>2335</v>
      </c>
      <c r="E81" s="399" t="s">
        <v>894</v>
      </c>
      <c r="F81" s="399" t="s">
        <v>2342</v>
      </c>
      <c r="G81" s="399" t="s">
        <v>2340</v>
      </c>
      <c r="H81" s="399" t="s">
        <v>1239</v>
      </c>
      <c r="I81" s="399" t="s">
        <v>1239</v>
      </c>
      <c r="J81" s="399" t="s">
        <v>2329</v>
      </c>
      <c r="K81" s="789">
        <v>44562</v>
      </c>
      <c r="L81" s="399">
        <v>0</v>
      </c>
      <c r="M81" s="399">
        <v>0</v>
      </c>
      <c r="N81" s="399">
        <v>0.34599999999999997</v>
      </c>
      <c r="O81" s="399">
        <v>0.34599999999999997</v>
      </c>
      <c r="P81" s="399">
        <v>0.34599999999999997</v>
      </c>
      <c r="Q81" s="399">
        <v>0.34599999999999997</v>
      </c>
      <c r="R81" s="399"/>
      <c r="S81" s="399">
        <v>425.49</v>
      </c>
      <c r="T81" s="399">
        <v>205.96</v>
      </c>
      <c r="U81" s="399"/>
      <c r="V81" s="399">
        <v>218.48169999999999</v>
      </c>
      <c r="W81" s="399">
        <v>218.48169999999999</v>
      </c>
      <c r="X81" s="399">
        <v>163.51267999999999</v>
      </c>
      <c r="Y81" s="399">
        <v>0</v>
      </c>
      <c r="Z81" s="399">
        <v>21.097039896016177</v>
      </c>
      <c r="AA81" s="399">
        <v>0</v>
      </c>
      <c r="AB81" s="399">
        <v>0</v>
      </c>
      <c r="AC81" s="399">
        <v>0</v>
      </c>
      <c r="AD81" s="399">
        <v>28.047547417406964</v>
      </c>
      <c r="AE81" s="399">
        <v>86.167289917743247</v>
      </c>
      <c r="AF81" s="399">
        <v>69.523782186697915</v>
      </c>
      <c r="AG81" s="399">
        <v>1.7398094478412629</v>
      </c>
      <c r="AH81" s="399">
        <v>0</v>
      </c>
      <c r="AI81" s="399">
        <v>0</v>
      </c>
      <c r="AJ81" s="399">
        <v>0</v>
      </c>
      <c r="AK81" s="399">
        <v>0</v>
      </c>
      <c r="AL81" s="399">
        <v>3.2604170900240743</v>
      </c>
      <c r="AM81" s="399"/>
      <c r="AN81" s="399">
        <v>0.37435579360952831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8.2737132332364975</v>
      </c>
      <c r="BH81" s="399">
        <v>0</v>
      </c>
      <c r="BI81" s="399">
        <v>0</v>
      </c>
      <c r="BJ81" s="399">
        <v>0</v>
      </c>
      <c r="BK81" s="399">
        <v>0</v>
      </c>
      <c r="BL81" s="399">
        <v>0</v>
      </c>
      <c r="BM81" s="399"/>
      <c r="BN81" s="399"/>
      <c r="BO81" s="399"/>
      <c r="BP81" s="399"/>
      <c r="BQ81" s="399"/>
      <c r="BR81" s="399">
        <v>19.62512000000001</v>
      </c>
      <c r="BS81" s="399"/>
      <c r="BT81" s="399"/>
      <c r="BU81" s="399"/>
      <c r="BV81" s="399">
        <v>77.797495419934407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145.55099999999999</v>
      </c>
      <c r="CJ81" s="399">
        <v>-46.744279999999975</v>
      </c>
      <c r="CK81" s="399"/>
      <c r="CL81" s="399"/>
      <c r="CM81" s="399"/>
      <c r="CN81" s="399"/>
      <c r="CO81" s="399">
        <v>-58.809619999999995</v>
      </c>
      <c r="CP81" s="399">
        <v>3.8405999999999976</v>
      </c>
      <c r="CQ81" s="399">
        <v>31</v>
      </c>
      <c r="CR81" s="399">
        <v>-2.4040896806199044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-3.504031201220787</v>
      </c>
      <c r="DA81" s="399">
        <v>0</v>
      </c>
      <c r="DB81" s="399">
        <v>0</v>
      </c>
      <c r="DC81" s="399">
        <v>3.8396033194490542</v>
      </c>
      <c r="DD81" s="399">
        <v>0</v>
      </c>
      <c r="DE81" s="399">
        <v>0</v>
      </c>
      <c r="DF81" s="399">
        <v>0</v>
      </c>
      <c r="DG81" s="399">
        <v>0.45693395548013527</v>
      </c>
      <c r="DH81" s="399">
        <v>0</v>
      </c>
      <c r="DI81" s="399">
        <v>-2.7646616667545736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-0.36402083151267028</v>
      </c>
      <c r="DP81" s="399">
        <v>-6.7913256061057192E-2</v>
      </c>
      <c r="DQ81" s="399">
        <v>0</v>
      </c>
      <c r="DR81" s="399">
        <v>0</v>
      </c>
      <c r="DS81" s="399"/>
      <c r="DT81" s="399"/>
      <c r="DU81" s="399"/>
      <c r="DV81" s="399">
        <v>86.167289917743247</v>
      </c>
      <c r="DW81" s="399">
        <v>0</v>
      </c>
      <c r="DX81" s="399">
        <v>0</v>
      </c>
      <c r="DY81" s="399">
        <v>-58.809619999999995</v>
      </c>
      <c r="DZ81" s="399">
        <v>3.8405999999999949</v>
      </c>
      <c r="EA81" s="399">
        <v>0</v>
      </c>
      <c r="EB81" s="399">
        <v>0</v>
      </c>
      <c r="EC81" s="399">
        <v>-52.567775427869641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227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956</v>
      </c>
      <c r="C82" s="399" t="s">
        <v>2328</v>
      </c>
      <c r="D82" s="399" t="s">
        <v>2335</v>
      </c>
      <c r="E82" s="399" t="s">
        <v>894</v>
      </c>
      <c r="F82" s="399" t="s">
        <v>2342</v>
      </c>
      <c r="G82" s="399" t="s">
        <v>2341</v>
      </c>
      <c r="H82" s="399" t="s">
        <v>1239</v>
      </c>
      <c r="I82" s="399" t="s">
        <v>1239</v>
      </c>
      <c r="J82" s="399" t="s">
        <v>2329</v>
      </c>
      <c r="K82" s="789">
        <v>44562</v>
      </c>
      <c r="L82" s="399">
        <v>0</v>
      </c>
      <c r="M82" s="399">
        <v>0</v>
      </c>
      <c r="N82" s="399">
        <v>0.33</v>
      </c>
      <c r="O82" s="399">
        <v>0.13200000000000001</v>
      </c>
      <c r="P82" s="399">
        <v>0.33</v>
      </c>
      <c r="Q82" s="399">
        <v>0.13200000000000001</v>
      </c>
      <c r="R82" s="399"/>
      <c r="S82" s="399">
        <v>425.49</v>
      </c>
      <c r="T82" s="399">
        <v>205.96</v>
      </c>
      <c r="U82" s="399"/>
      <c r="V82" s="399">
        <v>208.3785</v>
      </c>
      <c r="W82" s="399">
        <v>208.3785</v>
      </c>
      <c r="X82" s="399">
        <v>155.95140000000001</v>
      </c>
      <c r="Y82" s="399">
        <v>0</v>
      </c>
      <c r="Z82" s="399">
        <v>20.121454236084798</v>
      </c>
      <c r="AA82" s="399">
        <v>0</v>
      </c>
      <c r="AB82" s="399">
        <v>0</v>
      </c>
      <c r="AC82" s="399">
        <v>0</v>
      </c>
      <c r="AD82" s="399">
        <v>26.750551005041327</v>
      </c>
      <c r="AE82" s="399">
        <v>82.182675355073044</v>
      </c>
      <c r="AF82" s="399">
        <v>66.308809600029818</v>
      </c>
      <c r="AG82" s="399">
        <v>1.6593558317561181</v>
      </c>
      <c r="AH82" s="399">
        <v>0</v>
      </c>
      <c r="AI82" s="399">
        <v>0</v>
      </c>
      <c r="AJ82" s="399">
        <v>0</v>
      </c>
      <c r="AK82" s="399">
        <v>0</v>
      </c>
      <c r="AL82" s="399">
        <v>3.1096463575374123</v>
      </c>
      <c r="AM82" s="399"/>
      <c r="AN82" s="399">
        <v>0.35704454303798944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7.891113777364291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/>
      <c r="BS82" s="399">
        <v>101.05788000000003</v>
      </c>
      <c r="BT82" s="399"/>
      <c r="BU82" s="399"/>
      <c r="BV82" s="399">
        <v>74.199923377394114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54.061799999999998</v>
      </c>
      <c r="CJ82" s="399">
        <v>-19.317960000000006</v>
      </c>
      <c r="CK82" s="399"/>
      <c r="CL82" s="399"/>
      <c r="CM82" s="399"/>
      <c r="CN82" s="399"/>
      <c r="CO82" s="399">
        <v>-56.0901</v>
      </c>
      <c r="CP82" s="399">
        <v>3.6629999999999985</v>
      </c>
      <c r="CQ82" s="399">
        <v>31</v>
      </c>
      <c r="CR82" s="399">
        <v>-2.2929179034814382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-3.3419950763088444</v>
      </c>
      <c r="DA82" s="399">
        <v>0</v>
      </c>
      <c r="DB82" s="399">
        <v>0</v>
      </c>
      <c r="DC82" s="399">
        <v>3.6620494087230782</v>
      </c>
      <c r="DD82" s="399">
        <v>0</v>
      </c>
      <c r="DE82" s="399">
        <v>0</v>
      </c>
      <c r="DF82" s="399">
        <v>0</v>
      </c>
      <c r="DG82" s="399">
        <v>0.43580406158510065</v>
      </c>
      <c r="DH82" s="399">
        <v>0</v>
      </c>
      <c r="DI82" s="399">
        <v>-2.6368160405462717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-0.34718749826352946</v>
      </c>
      <c r="DP82" s="399">
        <v>-6.4772758670950448E-2</v>
      </c>
      <c r="DQ82" s="399">
        <v>0</v>
      </c>
      <c r="DR82" s="399">
        <v>0</v>
      </c>
      <c r="DS82" s="399"/>
      <c r="DT82" s="399"/>
      <c r="DU82" s="399"/>
      <c r="DV82" s="399">
        <v>82.182675355073044</v>
      </c>
      <c r="DW82" s="399">
        <v>0</v>
      </c>
      <c r="DX82" s="399">
        <v>0</v>
      </c>
      <c r="DY82" s="399">
        <v>-56.090099999999993</v>
      </c>
      <c r="DZ82" s="399">
        <v>3.6629999999999967</v>
      </c>
      <c r="EA82" s="399">
        <v>0</v>
      </c>
      <c r="EB82" s="399">
        <v>0</v>
      </c>
      <c r="EC82" s="399">
        <v>-50.136895639297634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227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956</v>
      </c>
      <c r="C83" s="399" t="s">
        <v>2328</v>
      </c>
      <c r="D83" s="399" t="s">
        <v>1823</v>
      </c>
      <c r="E83" s="399" t="s">
        <v>889</v>
      </c>
      <c r="F83" s="399" t="s">
        <v>889</v>
      </c>
      <c r="G83" s="399" t="s">
        <v>1239</v>
      </c>
      <c r="H83" s="399" t="s">
        <v>1239</v>
      </c>
      <c r="I83" s="399" t="s">
        <v>1239</v>
      </c>
      <c r="J83" s="399" t="s">
        <v>2329</v>
      </c>
      <c r="K83" s="789">
        <v>44593</v>
      </c>
      <c r="L83" s="399">
        <v>0</v>
      </c>
      <c r="M83" s="399">
        <v>0</v>
      </c>
      <c r="N83" s="399">
        <v>246.86500000000001</v>
      </c>
      <c r="O83" s="399">
        <v>246.86500000000001</v>
      </c>
      <c r="P83" s="399">
        <v>246.86500000000001</v>
      </c>
      <c r="Q83" s="399">
        <v>246.86500000000001</v>
      </c>
      <c r="R83" s="399"/>
      <c r="S83" s="399">
        <v>425.49</v>
      </c>
      <c r="T83" s="399">
        <v>205.96</v>
      </c>
      <c r="U83" s="399"/>
      <c r="V83" s="399">
        <v>155882.90425000002</v>
      </c>
      <c r="W83" s="399">
        <v>155882.90425000002</v>
      </c>
      <c r="X83" s="399">
        <v>116663.46170000001</v>
      </c>
      <c r="Y83" s="399">
        <v>0</v>
      </c>
      <c r="Z83" s="399">
        <v>15052.37212118507</v>
      </c>
      <c r="AA83" s="399">
        <v>0</v>
      </c>
      <c r="AB83" s="399">
        <v>0</v>
      </c>
      <c r="AC83" s="399">
        <v>0</v>
      </c>
      <c r="AD83" s="399">
        <v>20011.438708665235</v>
      </c>
      <c r="AE83" s="399">
        <v>61478.86712584881</v>
      </c>
      <c r="AF83" s="399">
        <v>49604.012975488971</v>
      </c>
      <c r="AG83" s="399">
        <v>1241.3238709287093</v>
      </c>
      <c r="AH83" s="399">
        <v>0</v>
      </c>
      <c r="AI83" s="399">
        <v>0</v>
      </c>
      <c r="AJ83" s="399">
        <v>0</v>
      </c>
      <c r="AK83" s="399">
        <v>0</v>
      </c>
      <c r="AL83" s="399">
        <v>2326.2510547074949</v>
      </c>
      <c r="AM83" s="399"/>
      <c r="AN83" s="399">
        <v>267.09636702143411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5903.1509171182897</v>
      </c>
      <c r="BH83" s="399">
        <v>0</v>
      </c>
      <c r="BI83" s="399">
        <v>552.72</v>
      </c>
      <c r="BJ83" s="399">
        <v>2574.79</v>
      </c>
      <c r="BK83" s="399">
        <v>37062.46</v>
      </c>
      <c r="BL83" s="399">
        <v>946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55507.163892607263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116665.82460000001</v>
      </c>
      <c r="CJ83" s="399">
        <v>-39217.109649999984</v>
      </c>
      <c r="CK83" s="399"/>
      <c r="CL83" s="399"/>
      <c r="CM83" s="399"/>
      <c r="CN83" s="399"/>
      <c r="CO83" s="399">
        <v>-41959.644050000003</v>
      </c>
      <c r="CP83" s="399">
        <v>2740.2014999999988</v>
      </c>
      <c r="CQ83" s="399">
        <v>29</v>
      </c>
      <c r="CR83" s="399">
        <v>-1715.2762977058737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-2500.0654985241927</v>
      </c>
      <c r="DA83" s="399">
        <v>0</v>
      </c>
      <c r="DB83" s="399">
        <v>0</v>
      </c>
      <c r="DC83" s="399">
        <v>2739.4903857103782</v>
      </c>
      <c r="DD83" s="399">
        <v>0</v>
      </c>
      <c r="DE83" s="399">
        <v>0</v>
      </c>
      <c r="DF83" s="399">
        <v>0</v>
      </c>
      <c r="DG83" s="399">
        <v>326.01445352486644</v>
      </c>
      <c r="DH83" s="399">
        <v>0</v>
      </c>
      <c r="DI83" s="399">
        <v>-1972.5381571195594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-259.72255078432181</v>
      </c>
      <c r="DP83" s="399">
        <v>-48.454930513042967</v>
      </c>
      <c r="DQ83" s="399">
        <v>0</v>
      </c>
      <c r="DR83" s="399">
        <v>0</v>
      </c>
      <c r="DS83" s="399"/>
      <c r="DT83" s="399"/>
      <c r="DU83" s="399"/>
      <c r="DV83" s="399">
        <v>61478.86712584881</v>
      </c>
      <c r="DW83" s="399">
        <v>0</v>
      </c>
      <c r="DX83" s="399">
        <v>0</v>
      </c>
      <c r="DY83" s="399">
        <v>-41959.644049999995</v>
      </c>
      <c r="DZ83" s="399">
        <v>2740.2014999999956</v>
      </c>
      <c r="EA83" s="399">
        <v>0</v>
      </c>
      <c r="EB83" s="399">
        <v>0</v>
      </c>
      <c r="EC83" s="399">
        <v>-37506.196187864276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227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956</v>
      </c>
      <c r="C84" s="399" t="s">
        <v>2328</v>
      </c>
      <c r="D84" s="399" t="s">
        <v>1823</v>
      </c>
      <c r="E84" s="399" t="s">
        <v>889</v>
      </c>
      <c r="F84" s="399" t="s">
        <v>2330</v>
      </c>
      <c r="G84" s="399" t="s">
        <v>1239</v>
      </c>
      <c r="H84" s="399" t="s">
        <v>1239</v>
      </c>
      <c r="I84" s="399" t="s">
        <v>1239</v>
      </c>
      <c r="J84" s="399" t="s">
        <v>2329</v>
      </c>
      <c r="K84" s="789">
        <v>44593</v>
      </c>
      <c r="L84" s="399">
        <v>0</v>
      </c>
      <c r="M84" s="399">
        <v>0</v>
      </c>
      <c r="N84" s="399">
        <v>0.15</v>
      </c>
      <c r="O84" s="399">
        <v>0.15</v>
      </c>
      <c r="P84" s="399">
        <v>0.15</v>
      </c>
      <c r="Q84" s="399">
        <v>0.15</v>
      </c>
      <c r="R84" s="399"/>
      <c r="S84" s="399">
        <v>355.1</v>
      </c>
      <c r="T84" s="399">
        <v>205.96</v>
      </c>
      <c r="U84" s="399"/>
      <c r="V84" s="399">
        <v>84.158999999999992</v>
      </c>
      <c r="W84" s="399">
        <v>84.158999999999992</v>
      </c>
      <c r="X84" s="399">
        <v>61.682999999999993</v>
      </c>
      <c r="Y84" s="399">
        <v>0</v>
      </c>
      <c r="Z84" s="399">
        <v>0</v>
      </c>
      <c r="AA84" s="399">
        <v>0</v>
      </c>
      <c r="AB84" s="399">
        <v>0</v>
      </c>
      <c r="AC84" s="399">
        <v>0</v>
      </c>
      <c r="AD84" s="399">
        <v>12.159341365927874</v>
      </c>
      <c r="AE84" s="399">
        <v>37.355761525033202</v>
      </c>
      <c r="AF84" s="399">
        <v>30.140368000013549</v>
      </c>
      <c r="AG84" s="399">
        <v>0.75425265079823545</v>
      </c>
      <c r="AH84" s="399">
        <v>0</v>
      </c>
      <c r="AI84" s="399">
        <v>0</v>
      </c>
      <c r="AJ84" s="399">
        <v>0</v>
      </c>
      <c r="AK84" s="399">
        <v>0</v>
      </c>
      <c r="AL84" s="399">
        <v>0</v>
      </c>
      <c r="AM84" s="399"/>
      <c r="AN84" s="399">
        <v>0.162292974108177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3.5868698988019498</v>
      </c>
      <c r="BH84" s="399">
        <v>0</v>
      </c>
      <c r="BI84" s="399">
        <v>7.0000000000000007E-2</v>
      </c>
      <c r="BJ84" s="399">
        <v>0.35</v>
      </c>
      <c r="BK84" s="399">
        <v>2.97</v>
      </c>
      <c r="BL84" s="399">
        <v>0</v>
      </c>
      <c r="BM84" s="399"/>
      <c r="BN84" s="399"/>
      <c r="BO84" s="399"/>
      <c r="BP84" s="399"/>
      <c r="BQ84" s="399"/>
      <c r="BR84" s="399"/>
      <c r="BS84" s="399"/>
      <c r="BT84" s="399">
        <v>40.093499999999999</v>
      </c>
      <c r="BU84" s="399"/>
      <c r="BV84" s="399">
        <v>33.727237898815495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21.589500000000001</v>
      </c>
      <c r="CJ84" s="399">
        <v>-7.8960000000000043</v>
      </c>
      <c r="CK84" s="399"/>
      <c r="CL84" s="399"/>
      <c r="CM84" s="399"/>
      <c r="CN84" s="399"/>
      <c r="CO84" s="399">
        <v>-24.141000000000002</v>
      </c>
      <c r="CP84" s="399">
        <v>1.6649999999999991</v>
      </c>
      <c r="CQ84" s="399">
        <v>29</v>
      </c>
      <c r="CR84" s="399">
        <v>0.31412983424018392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-1.5190886710494738</v>
      </c>
      <c r="DA84" s="399">
        <v>0</v>
      </c>
      <c r="DB84" s="399">
        <v>0</v>
      </c>
      <c r="DC84" s="399">
        <v>1.6645679130559472</v>
      </c>
      <c r="DD84" s="399">
        <v>0</v>
      </c>
      <c r="DE84" s="399">
        <v>0</v>
      </c>
      <c r="DF84" s="399">
        <v>0</v>
      </c>
      <c r="DG84" s="399">
        <v>0.19809275526595505</v>
      </c>
      <c r="DH84" s="399">
        <v>0</v>
      </c>
      <c r="DI84" s="399">
        <v>0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0</v>
      </c>
      <c r="DP84" s="399">
        <v>-2.9442163032250224E-2</v>
      </c>
      <c r="DQ84" s="399">
        <v>0</v>
      </c>
      <c r="DR84" s="399">
        <v>0</v>
      </c>
      <c r="DS84" s="399"/>
      <c r="DT84" s="399"/>
      <c r="DU84" s="399"/>
      <c r="DV84" s="399">
        <v>37.355761525033202</v>
      </c>
      <c r="DW84" s="399">
        <v>0</v>
      </c>
      <c r="DX84" s="399">
        <v>0</v>
      </c>
      <c r="DY84" s="399">
        <v>-24.141000000000002</v>
      </c>
      <c r="DZ84" s="399">
        <v>1.6649999999999991</v>
      </c>
      <c r="EA84" s="399">
        <v>0</v>
      </c>
      <c r="EB84" s="399">
        <v>0</v>
      </c>
      <c r="EC84" s="399">
        <v>-22.789498017862563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227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956</v>
      </c>
      <c r="C85" s="399" t="s">
        <v>2328</v>
      </c>
      <c r="D85" s="399" t="s">
        <v>1823</v>
      </c>
      <c r="E85" s="399" t="s">
        <v>889</v>
      </c>
      <c r="F85" s="399" t="s">
        <v>2331</v>
      </c>
      <c r="G85" s="399" t="s">
        <v>1239</v>
      </c>
      <c r="H85" s="399" t="s">
        <v>1239</v>
      </c>
      <c r="I85" s="399" t="s">
        <v>1239</v>
      </c>
      <c r="J85" s="399" t="s">
        <v>2329</v>
      </c>
      <c r="K85" s="789">
        <v>44593</v>
      </c>
      <c r="L85" s="399">
        <v>0</v>
      </c>
      <c r="M85" s="399">
        <v>0</v>
      </c>
      <c r="N85" s="399">
        <v>0.35</v>
      </c>
      <c r="O85" s="399">
        <v>0.35</v>
      </c>
      <c r="P85" s="399">
        <v>0.35</v>
      </c>
      <c r="Q85" s="399">
        <v>0.35</v>
      </c>
      <c r="R85" s="399"/>
      <c r="S85" s="399">
        <v>355.1</v>
      </c>
      <c r="T85" s="399">
        <v>205.96</v>
      </c>
      <c r="U85" s="399"/>
      <c r="V85" s="399">
        <v>196.37099999999998</v>
      </c>
      <c r="W85" s="399">
        <v>196.37099999999998</v>
      </c>
      <c r="X85" s="399">
        <v>143.92699999999996</v>
      </c>
      <c r="Y85" s="399">
        <v>0</v>
      </c>
      <c r="Z85" s="399">
        <v>0</v>
      </c>
      <c r="AA85" s="399">
        <v>0</v>
      </c>
      <c r="AB85" s="399">
        <v>0</v>
      </c>
      <c r="AC85" s="399">
        <v>0</v>
      </c>
      <c r="AD85" s="399">
        <v>28.371796520498375</v>
      </c>
      <c r="AE85" s="399">
        <v>87.163443558410805</v>
      </c>
      <c r="AF85" s="399">
        <v>70.327525333364946</v>
      </c>
      <c r="AG85" s="399">
        <v>1.7599228518625492</v>
      </c>
      <c r="AH85" s="399">
        <v>0</v>
      </c>
      <c r="AI85" s="399">
        <v>0</v>
      </c>
      <c r="AJ85" s="399">
        <v>0</v>
      </c>
      <c r="AK85" s="399">
        <v>0</v>
      </c>
      <c r="AL85" s="399">
        <v>0</v>
      </c>
      <c r="AM85" s="399"/>
      <c r="AN85" s="399">
        <v>0.37868360625241299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8.3693630972045501</v>
      </c>
      <c r="BH85" s="399">
        <v>0</v>
      </c>
      <c r="BI85" s="399">
        <v>0.33</v>
      </c>
      <c r="BJ85" s="399">
        <v>1.5</v>
      </c>
      <c r="BK85" s="399">
        <v>12.01</v>
      </c>
      <c r="BL85" s="399">
        <v>0</v>
      </c>
      <c r="BM85" s="399"/>
      <c r="BN85" s="399"/>
      <c r="BO85" s="399"/>
      <c r="BP85" s="399"/>
      <c r="BQ85" s="399"/>
      <c r="BR85" s="399"/>
      <c r="BS85" s="399"/>
      <c r="BT85" s="399">
        <v>57.567999999999998</v>
      </c>
      <c r="BU85" s="399"/>
      <c r="BV85" s="399">
        <v>78.696888430569501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86.359000000000009</v>
      </c>
      <c r="CJ85" s="399">
        <v>-31.495000000000005</v>
      </c>
      <c r="CK85" s="399"/>
      <c r="CL85" s="399"/>
      <c r="CM85" s="399"/>
      <c r="CN85" s="399"/>
      <c r="CO85" s="399">
        <v>-56.329000000000008</v>
      </c>
      <c r="CP85" s="399">
        <v>3.8849999999999976</v>
      </c>
      <c r="CQ85" s="399">
        <v>29</v>
      </c>
      <c r="CR85" s="399">
        <v>0.73296961322708398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-3.5445402324487745</v>
      </c>
      <c r="DA85" s="399">
        <v>0</v>
      </c>
      <c r="DB85" s="399">
        <v>0</v>
      </c>
      <c r="DC85" s="399">
        <v>3.8839917971305482</v>
      </c>
      <c r="DD85" s="399">
        <v>0</v>
      </c>
      <c r="DE85" s="399">
        <v>0</v>
      </c>
      <c r="DF85" s="399">
        <v>0</v>
      </c>
      <c r="DG85" s="399">
        <v>0.46221642895389436</v>
      </c>
      <c r="DH85" s="399">
        <v>0</v>
      </c>
      <c r="DI85" s="399">
        <v>0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0</v>
      </c>
      <c r="DP85" s="399">
        <v>-6.8698380408583837E-2</v>
      </c>
      <c r="DQ85" s="399">
        <v>0</v>
      </c>
      <c r="DR85" s="399">
        <v>0</v>
      </c>
      <c r="DS85" s="399"/>
      <c r="DT85" s="399"/>
      <c r="DU85" s="399"/>
      <c r="DV85" s="399">
        <v>87.163443558410805</v>
      </c>
      <c r="DW85" s="399">
        <v>0</v>
      </c>
      <c r="DX85" s="399">
        <v>0</v>
      </c>
      <c r="DY85" s="399">
        <v>-56.329000000000008</v>
      </c>
      <c r="DZ85" s="399">
        <v>3.8849999999999909</v>
      </c>
      <c r="EA85" s="399">
        <v>0</v>
      </c>
      <c r="EB85" s="399">
        <v>0</v>
      </c>
      <c r="EC85" s="399">
        <v>-53.175495375012645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227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956</v>
      </c>
      <c r="C86" s="399" t="s">
        <v>2328</v>
      </c>
      <c r="D86" s="399" t="s">
        <v>1823</v>
      </c>
      <c r="E86" s="399" t="s">
        <v>889</v>
      </c>
      <c r="F86" s="399" t="s">
        <v>2332</v>
      </c>
      <c r="G86" s="399" t="s">
        <v>1239</v>
      </c>
      <c r="H86" s="399" t="s">
        <v>1239</v>
      </c>
      <c r="I86" s="399" t="s">
        <v>1239</v>
      </c>
      <c r="J86" s="399" t="s">
        <v>2329</v>
      </c>
      <c r="K86" s="789">
        <v>44593</v>
      </c>
      <c r="L86" s="399">
        <v>0</v>
      </c>
      <c r="M86" s="399">
        <v>0</v>
      </c>
      <c r="N86" s="399">
        <v>0.376</v>
      </c>
      <c r="O86" s="399">
        <v>0.376</v>
      </c>
      <c r="P86" s="399">
        <v>0.376</v>
      </c>
      <c r="Q86" s="399">
        <v>0.376</v>
      </c>
      <c r="R86" s="399"/>
      <c r="S86" s="399">
        <v>355.1</v>
      </c>
      <c r="T86" s="399">
        <v>205.96</v>
      </c>
      <c r="U86" s="399"/>
      <c r="V86" s="399">
        <v>210.95856000000003</v>
      </c>
      <c r="W86" s="399">
        <v>210.95856000000003</v>
      </c>
      <c r="X86" s="399">
        <v>154.61872</v>
      </c>
      <c r="Y86" s="399">
        <v>0</v>
      </c>
      <c r="Z86" s="399">
        <v>0</v>
      </c>
      <c r="AA86" s="399">
        <v>0</v>
      </c>
      <c r="AB86" s="399">
        <v>0</v>
      </c>
      <c r="AC86" s="399">
        <v>0</v>
      </c>
      <c r="AD86" s="399">
        <v>30.479415690592539</v>
      </c>
      <c r="AE86" s="399">
        <v>93.638442222749887</v>
      </c>
      <c r="AF86" s="399">
        <v>75.551855786700628</v>
      </c>
      <c r="AG86" s="399">
        <v>1.8906599780009101</v>
      </c>
      <c r="AH86" s="399">
        <v>0</v>
      </c>
      <c r="AI86" s="399">
        <v>0</v>
      </c>
      <c r="AJ86" s="399">
        <v>0</v>
      </c>
      <c r="AK86" s="399">
        <v>0</v>
      </c>
      <c r="AL86" s="399">
        <v>0</v>
      </c>
      <c r="AM86" s="399"/>
      <c r="AN86" s="399">
        <v>0.40681438843116369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8.991087212996888</v>
      </c>
      <c r="BH86" s="399">
        <v>0</v>
      </c>
      <c r="BI86" s="399">
        <v>0.48</v>
      </c>
      <c r="BJ86" s="399">
        <v>2.36</v>
      </c>
      <c r="BK86" s="399">
        <v>31.94</v>
      </c>
      <c r="BL86" s="399">
        <v>3</v>
      </c>
      <c r="BM86" s="399"/>
      <c r="BN86" s="399"/>
      <c r="BO86" s="399"/>
      <c r="BP86" s="399"/>
      <c r="BQ86" s="399"/>
      <c r="BR86" s="399"/>
      <c r="BS86" s="399"/>
      <c r="BT86" s="399">
        <v>15.457359999999994</v>
      </c>
      <c r="BU86" s="399"/>
      <c r="BV86" s="399">
        <v>84.542942999697516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140.64179999999999</v>
      </c>
      <c r="CJ86" s="399">
        <v>-49.253160000000008</v>
      </c>
      <c r="CK86" s="399"/>
      <c r="CL86" s="399"/>
      <c r="CM86" s="399"/>
      <c r="CN86" s="399"/>
      <c r="CO86" s="399">
        <v>-60.51344000000001</v>
      </c>
      <c r="CP86" s="399">
        <v>4.1735999999999978</v>
      </c>
      <c r="CQ86" s="399">
        <v>29</v>
      </c>
      <c r="CR86" s="399">
        <v>0.78741878449540081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-3.8078489354306804</v>
      </c>
      <c r="DA86" s="399">
        <v>0</v>
      </c>
      <c r="DB86" s="399">
        <v>0</v>
      </c>
      <c r="DC86" s="399">
        <v>4.1725169020602522</v>
      </c>
      <c r="DD86" s="399">
        <v>0</v>
      </c>
      <c r="DE86" s="399">
        <v>0</v>
      </c>
      <c r="DF86" s="399">
        <v>0</v>
      </c>
      <c r="DG86" s="399">
        <v>0.49655250653332672</v>
      </c>
      <c r="DH86" s="399">
        <v>0</v>
      </c>
      <c r="DI86" s="399">
        <v>0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0</v>
      </c>
      <c r="DP86" s="399">
        <v>-7.3801688667507193E-2</v>
      </c>
      <c r="DQ86" s="399">
        <v>0</v>
      </c>
      <c r="DR86" s="399">
        <v>0</v>
      </c>
      <c r="DS86" s="399"/>
      <c r="DT86" s="399"/>
      <c r="DU86" s="399"/>
      <c r="DV86" s="399">
        <v>93.638442222749887</v>
      </c>
      <c r="DW86" s="399">
        <v>0</v>
      </c>
      <c r="DX86" s="399">
        <v>0</v>
      </c>
      <c r="DY86" s="399">
        <v>-60.513440000000017</v>
      </c>
      <c r="DZ86" s="399">
        <v>4.1735999999999933</v>
      </c>
      <c r="EA86" s="399">
        <v>0</v>
      </c>
      <c r="EB86" s="399">
        <v>0</v>
      </c>
      <c r="EC86" s="399">
        <v>-57.12567503144215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227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956</v>
      </c>
      <c r="C87" s="399" t="s">
        <v>2328</v>
      </c>
      <c r="D87" s="399" t="s">
        <v>1823</v>
      </c>
      <c r="E87" s="399" t="s">
        <v>889</v>
      </c>
      <c r="F87" s="399" t="s">
        <v>2333</v>
      </c>
      <c r="G87" s="399" t="s">
        <v>1239</v>
      </c>
      <c r="H87" s="399" t="s">
        <v>1239</v>
      </c>
      <c r="I87" s="399" t="s">
        <v>1239</v>
      </c>
      <c r="J87" s="399" t="s">
        <v>2329</v>
      </c>
      <c r="K87" s="789">
        <v>44593</v>
      </c>
      <c r="L87" s="399">
        <v>0</v>
      </c>
      <c r="M87" s="399">
        <v>0</v>
      </c>
      <c r="N87" s="399">
        <v>0.21299999999999999</v>
      </c>
      <c r="O87" s="399">
        <v>0.21299999999999999</v>
      </c>
      <c r="P87" s="399">
        <v>0.21299999999999999</v>
      </c>
      <c r="Q87" s="399">
        <v>0.21299999999999999</v>
      </c>
      <c r="R87" s="399"/>
      <c r="S87" s="399">
        <v>355.1</v>
      </c>
      <c r="T87" s="399">
        <v>205.96</v>
      </c>
      <c r="U87" s="399"/>
      <c r="V87" s="399">
        <v>119.50578000000002</v>
      </c>
      <c r="W87" s="399">
        <v>119.50578000000002</v>
      </c>
      <c r="X87" s="399">
        <v>87.589859999999987</v>
      </c>
      <c r="Y87" s="399">
        <v>0</v>
      </c>
      <c r="Z87" s="399">
        <v>0</v>
      </c>
      <c r="AA87" s="399">
        <v>0</v>
      </c>
      <c r="AB87" s="399">
        <v>0</v>
      </c>
      <c r="AC87" s="399">
        <v>0</v>
      </c>
      <c r="AD87" s="399">
        <v>17.266264739617583</v>
      </c>
      <c r="AE87" s="399">
        <v>53.045181365547144</v>
      </c>
      <c r="AF87" s="399">
        <v>42.799322560019242</v>
      </c>
      <c r="AG87" s="399">
        <v>1.0710387641334944</v>
      </c>
      <c r="AH87" s="399">
        <v>0</v>
      </c>
      <c r="AI87" s="399">
        <v>0</v>
      </c>
      <c r="AJ87" s="399">
        <v>0</v>
      </c>
      <c r="AK87" s="399">
        <v>0</v>
      </c>
      <c r="AL87" s="399">
        <v>0</v>
      </c>
      <c r="AM87" s="399"/>
      <c r="AN87" s="399">
        <v>0.23045602323361136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5.0933552562987687</v>
      </c>
      <c r="BH87" s="399">
        <v>0</v>
      </c>
      <c r="BI87" s="399">
        <v>0.31</v>
      </c>
      <c r="BJ87" s="399">
        <v>1.47</v>
      </c>
      <c r="BK87" s="399">
        <v>32.19</v>
      </c>
      <c r="BL87" s="399">
        <v>2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47.892677816318013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86.356200000000001</v>
      </c>
      <c r="CJ87" s="399">
        <v>-33.17958000000003</v>
      </c>
      <c r="CK87" s="399"/>
      <c r="CL87" s="399"/>
      <c r="CM87" s="399"/>
      <c r="CN87" s="399"/>
      <c r="CO87" s="399">
        <v>-34.280220000000007</v>
      </c>
      <c r="CP87" s="399">
        <v>2.3642999999999987</v>
      </c>
      <c r="CQ87" s="399">
        <v>29</v>
      </c>
      <c r="CR87" s="399">
        <v>0.44606436462105137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-2.1571059128902537</v>
      </c>
      <c r="DA87" s="399">
        <v>0</v>
      </c>
      <c r="DB87" s="399">
        <v>0</v>
      </c>
      <c r="DC87" s="399">
        <v>2.3636864365394459</v>
      </c>
      <c r="DD87" s="399">
        <v>0</v>
      </c>
      <c r="DE87" s="399">
        <v>0</v>
      </c>
      <c r="DF87" s="399">
        <v>0</v>
      </c>
      <c r="DG87" s="399">
        <v>0.28129171247765594</v>
      </c>
      <c r="DH87" s="399">
        <v>0</v>
      </c>
      <c r="DI87" s="399">
        <v>0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0</v>
      </c>
      <c r="DP87" s="399">
        <v>-4.1807871505795319E-2</v>
      </c>
      <c r="DQ87" s="399">
        <v>0</v>
      </c>
      <c r="DR87" s="399">
        <v>0</v>
      </c>
      <c r="DS87" s="399"/>
      <c r="DT87" s="399"/>
      <c r="DU87" s="399"/>
      <c r="DV87" s="399">
        <v>53.045181365547144</v>
      </c>
      <c r="DW87" s="399">
        <v>0</v>
      </c>
      <c r="DX87" s="399">
        <v>0</v>
      </c>
      <c r="DY87" s="399">
        <v>-34.280220000000007</v>
      </c>
      <c r="DZ87" s="399">
        <v>2.364299999999993</v>
      </c>
      <c r="EA87" s="399">
        <v>0</v>
      </c>
      <c r="EB87" s="399">
        <v>0</v>
      </c>
      <c r="EC87" s="399">
        <v>-32.361087185364838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227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956</v>
      </c>
      <c r="C88" s="399" t="s">
        <v>2328</v>
      </c>
      <c r="D88" s="399" t="s">
        <v>1826</v>
      </c>
      <c r="E88" s="399" t="s">
        <v>890</v>
      </c>
      <c r="F88" s="399" t="s">
        <v>1239</v>
      </c>
      <c r="G88" s="399" t="s">
        <v>1239</v>
      </c>
      <c r="H88" s="399" t="s">
        <v>1239</v>
      </c>
      <c r="I88" s="399" t="s">
        <v>1239</v>
      </c>
      <c r="J88" s="399" t="s">
        <v>2329</v>
      </c>
      <c r="K88" s="789">
        <v>44593</v>
      </c>
      <c r="L88" s="399">
        <v>0</v>
      </c>
      <c r="M88" s="399">
        <v>0</v>
      </c>
      <c r="N88" s="399">
        <v>76.831999999999994</v>
      </c>
      <c r="O88" s="399">
        <v>76.831999999999994</v>
      </c>
      <c r="P88" s="399">
        <v>76.831999999999994</v>
      </c>
      <c r="Q88" s="399">
        <v>76.831999999999994</v>
      </c>
      <c r="R88" s="399"/>
      <c r="S88" s="399">
        <v>425.49</v>
      </c>
      <c r="T88" s="399">
        <v>205.96</v>
      </c>
      <c r="U88" s="399"/>
      <c r="V88" s="399">
        <v>48515.566399999996</v>
      </c>
      <c r="W88" s="399">
        <v>48515.566399999996</v>
      </c>
      <c r="X88" s="399">
        <v>36309.266559999996</v>
      </c>
      <c r="Y88" s="399">
        <v>0</v>
      </c>
      <c r="Z88" s="399">
        <v>4684.7623389905057</v>
      </c>
      <c r="AA88" s="399">
        <v>0</v>
      </c>
      <c r="AB88" s="399">
        <v>0</v>
      </c>
      <c r="AC88" s="399">
        <v>0</v>
      </c>
      <c r="AD88" s="399">
        <v>6228.1767721798033</v>
      </c>
      <c r="AE88" s="399">
        <v>19134.119129942337</v>
      </c>
      <c r="AF88" s="399">
        <v>15438.298361180272</v>
      </c>
      <c r="AG88" s="399">
        <v>386.33826444086679</v>
      </c>
      <c r="AH88" s="399">
        <v>0</v>
      </c>
      <c r="AI88" s="399">
        <v>0</v>
      </c>
      <c r="AJ88" s="399">
        <v>0</v>
      </c>
      <c r="AK88" s="399">
        <v>0</v>
      </c>
      <c r="AL88" s="399">
        <v>724.00105740095285</v>
      </c>
      <c r="AM88" s="399"/>
      <c r="AN88" s="399">
        <v>83.128625244529701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1837.2425870983427</v>
      </c>
      <c r="BH88" s="399">
        <v>0</v>
      </c>
      <c r="BI88" s="399">
        <v>243.44</v>
      </c>
      <c r="BJ88" s="399">
        <v>1125.5899999999999</v>
      </c>
      <c r="BK88" s="399">
        <v>16195.89</v>
      </c>
      <c r="BL88" s="399">
        <v>41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17275.540948278616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36308.321400000001</v>
      </c>
      <c r="CJ88" s="399">
        <v>-12207.274999999994</v>
      </c>
      <c r="CK88" s="399"/>
      <c r="CL88" s="399"/>
      <c r="CM88" s="399"/>
      <c r="CN88" s="399"/>
      <c r="CO88" s="399">
        <v>-13059.135039999999</v>
      </c>
      <c r="CP88" s="399">
        <v>852.83519999999953</v>
      </c>
      <c r="CQ88" s="399">
        <v>29</v>
      </c>
      <c r="CR88" s="399">
        <v>-533.84687381903495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-778.09747182715546</v>
      </c>
      <c r="DA88" s="399">
        <v>0</v>
      </c>
      <c r="DB88" s="399">
        <v>0</v>
      </c>
      <c r="DC88" s="399">
        <v>852.61387930609817</v>
      </c>
      <c r="DD88" s="399">
        <v>0</v>
      </c>
      <c r="DE88" s="399">
        <v>0</v>
      </c>
      <c r="DF88" s="399">
        <v>0</v>
      </c>
      <c r="DG88" s="399">
        <v>101.46575048395903</v>
      </c>
      <c r="DH88" s="399">
        <v>0</v>
      </c>
      <c r="DI88" s="399">
        <v>-613.91469705227564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-80.833666262374209</v>
      </c>
      <c r="DP88" s="399">
        <v>-15.080668467292327</v>
      </c>
      <c r="DQ88" s="399">
        <v>0</v>
      </c>
      <c r="DR88" s="399">
        <v>0</v>
      </c>
      <c r="DS88" s="399"/>
      <c r="DT88" s="399"/>
      <c r="DU88" s="399"/>
      <c r="DV88" s="399">
        <v>19134.119129942337</v>
      </c>
      <c r="DW88" s="399">
        <v>0</v>
      </c>
      <c r="DX88" s="399">
        <v>0</v>
      </c>
      <c r="DY88" s="399">
        <v>-13059.135039999997</v>
      </c>
      <c r="DZ88" s="399">
        <v>852.83519999999771</v>
      </c>
      <c r="EA88" s="399">
        <v>0</v>
      </c>
      <c r="EB88" s="399">
        <v>0</v>
      </c>
      <c r="EC88" s="399">
        <v>-11673.084744722775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227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956</v>
      </c>
      <c r="C89" s="399" t="s">
        <v>2334</v>
      </c>
      <c r="D89" s="399" t="s">
        <v>533</v>
      </c>
      <c r="E89" s="399" t="s">
        <v>890</v>
      </c>
      <c r="F89" s="399" t="s">
        <v>1239</v>
      </c>
      <c r="G89" s="399" t="s">
        <v>1239</v>
      </c>
      <c r="H89" s="399" t="s">
        <v>1239</v>
      </c>
      <c r="I89" s="399" t="s">
        <v>893</v>
      </c>
      <c r="J89" s="399" t="s">
        <v>2329</v>
      </c>
      <c r="K89" s="789">
        <v>44593</v>
      </c>
      <c r="L89" s="399">
        <v>0</v>
      </c>
      <c r="M89" s="399">
        <v>0</v>
      </c>
      <c r="N89" s="399">
        <v>18.617999999999999</v>
      </c>
      <c r="O89" s="399">
        <v>18.617999999999999</v>
      </c>
      <c r="P89" s="399">
        <v>18.617999999999999</v>
      </c>
      <c r="Q89" s="399">
        <v>18.617999999999999</v>
      </c>
      <c r="R89" s="399"/>
      <c r="S89" s="399">
        <v>2109.83</v>
      </c>
      <c r="T89" s="399">
        <v>205.96</v>
      </c>
      <c r="U89" s="399"/>
      <c r="V89" s="399">
        <v>43115.378219999999</v>
      </c>
      <c r="W89" s="399">
        <v>43115.378219999999</v>
      </c>
      <c r="X89" s="399">
        <v>25442.614079999999</v>
      </c>
      <c r="Y89" s="399">
        <v>0</v>
      </c>
      <c r="Z89" s="399">
        <v>987.63780127776124</v>
      </c>
      <c r="AA89" s="399">
        <v>0</v>
      </c>
      <c r="AB89" s="399">
        <v>0</v>
      </c>
      <c r="AC89" s="399">
        <v>0</v>
      </c>
      <c r="AD89" s="399">
        <v>11140.565369770757</v>
      </c>
      <c r="AE89" s="399">
        <v>26793.720366248101</v>
      </c>
      <c r="AF89" s="399">
        <v>3741.0224761616814</v>
      </c>
      <c r="AG89" s="399">
        <v>93.617839017076975</v>
      </c>
      <c r="AH89" s="399">
        <v>0</v>
      </c>
      <c r="AI89" s="399">
        <v>0</v>
      </c>
      <c r="AJ89" s="399">
        <v>0</v>
      </c>
      <c r="AK89" s="399">
        <v>0</v>
      </c>
      <c r="AL89" s="399">
        <v>175.44059358979254</v>
      </c>
      <c r="AM89" s="399"/>
      <c r="AN89" s="399">
        <v>11.496106334671381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171.89120343463219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3912.9136795963136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25445.347200000004</v>
      </c>
      <c r="CJ89" s="399">
        <v>-17670.061020000001</v>
      </c>
      <c r="CK89" s="399"/>
      <c r="CL89" s="399"/>
      <c r="CM89" s="399"/>
      <c r="CN89" s="399"/>
      <c r="CO89" s="399">
        <v>-17879.423939999997</v>
      </c>
      <c r="CP89" s="399">
        <v>206.65979999999988</v>
      </c>
      <c r="CQ89" s="399">
        <v>29</v>
      </c>
      <c r="CR89" s="399">
        <v>-1326.810128941017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-1391.8111296494044</v>
      </c>
      <c r="DA89" s="399">
        <v>0</v>
      </c>
      <c r="DB89" s="399">
        <v>0</v>
      </c>
      <c r="DC89" s="399">
        <v>206.6061693685042</v>
      </c>
      <c r="DD89" s="399">
        <v>0</v>
      </c>
      <c r="DE89" s="399">
        <v>0</v>
      </c>
      <c r="DF89" s="399">
        <v>0</v>
      </c>
      <c r="DG89" s="399">
        <v>9.4930686239047759</v>
      </c>
      <c r="DH89" s="399">
        <v>0</v>
      </c>
      <c r="DI89" s="399">
        <v>-129.42499911307436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-19.587687402031492</v>
      </c>
      <c r="DP89" s="399">
        <v>-2.0855507689191235</v>
      </c>
      <c r="DQ89" s="399">
        <v>0</v>
      </c>
      <c r="DR89" s="399">
        <v>0</v>
      </c>
      <c r="DS89" s="399"/>
      <c r="DT89" s="399"/>
      <c r="DU89" s="399"/>
      <c r="DV89" s="399">
        <v>26793.720366248101</v>
      </c>
      <c r="DW89" s="399">
        <v>0</v>
      </c>
      <c r="DX89" s="399">
        <v>0</v>
      </c>
      <c r="DY89" s="399">
        <v>-17879.423939999997</v>
      </c>
      <c r="DZ89" s="399">
        <v>206.6597999999999</v>
      </c>
      <c r="EA89" s="399">
        <v>0</v>
      </c>
      <c r="EB89" s="399">
        <v>0</v>
      </c>
      <c r="EC89" s="399">
        <v>-16345.950724858929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227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956</v>
      </c>
      <c r="C90" s="399" t="s">
        <v>2334</v>
      </c>
      <c r="D90" s="399" t="s">
        <v>533</v>
      </c>
      <c r="E90" s="399" t="s">
        <v>890</v>
      </c>
      <c r="F90" s="399" t="s">
        <v>1239</v>
      </c>
      <c r="G90" s="399" t="s">
        <v>1239</v>
      </c>
      <c r="H90" s="399" t="s">
        <v>1239</v>
      </c>
      <c r="I90" s="399" t="s">
        <v>2326</v>
      </c>
      <c r="J90" s="399" t="s">
        <v>2329</v>
      </c>
      <c r="K90" s="789">
        <v>44593</v>
      </c>
      <c r="L90" s="399">
        <v>0</v>
      </c>
      <c r="M90" s="399">
        <v>0</v>
      </c>
      <c r="N90" s="399">
        <v>389.29</v>
      </c>
      <c r="O90" s="399">
        <v>389.29</v>
      </c>
      <c r="P90" s="399">
        <v>389.29</v>
      </c>
      <c r="Q90" s="399">
        <v>389.29</v>
      </c>
      <c r="R90" s="399"/>
      <c r="S90" s="399">
        <v>72.319999999999993</v>
      </c>
      <c r="T90" s="399">
        <v>205.96</v>
      </c>
      <c r="U90" s="399"/>
      <c r="V90" s="399">
        <v>108331.62120000001</v>
      </c>
      <c r="W90" s="399">
        <v>108331.62120000001</v>
      </c>
      <c r="X90" s="399">
        <v>109690.2433</v>
      </c>
      <c r="Y90" s="399">
        <v>0</v>
      </c>
      <c r="Z90" s="399">
        <v>20650.849697036185</v>
      </c>
      <c r="AA90" s="399">
        <v>0</v>
      </c>
      <c r="AB90" s="399">
        <v>0</v>
      </c>
      <c r="AC90" s="399">
        <v>0</v>
      </c>
      <c r="AD90" s="399">
        <v>0</v>
      </c>
      <c r="AE90" s="399">
        <v>0</v>
      </c>
      <c r="AF90" s="399">
        <v>78222.292391501833</v>
      </c>
      <c r="AG90" s="399">
        <v>1957.4867628616339</v>
      </c>
      <c r="AH90" s="399">
        <v>0</v>
      </c>
      <c r="AI90" s="399">
        <v>0</v>
      </c>
      <c r="AJ90" s="399">
        <v>0</v>
      </c>
      <c r="AK90" s="399">
        <v>0</v>
      </c>
      <c r="AL90" s="399">
        <v>3668.3461531083008</v>
      </c>
      <c r="AM90" s="399"/>
      <c r="AN90" s="399">
        <v>240.37593914621456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3594.1307651234274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81816.423156625257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109690.2433</v>
      </c>
      <c r="CJ90" s="399">
        <v>1358.5920999999944</v>
      </c>
      <c r="CK90" s="399"/>
      <c r="CL90" s="399"/>
      <c r="CM90" s="399"/>
      <c r="CN90" s="399"/>
      <c r="CO90" s="399">
        <v>-2962.4969000000001</v>
      </c>
      <c r="CP90" s="399">
        <v>4321.1189999999979</v>
      </c>
      <c r="CQ90" s="399">
        <v>29</v>
      </c>
      <c r="CR90" s="399">
        <v>1359.1277025333984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0</v>
      </c>
      <c r="DA90" s="399">
        <v>0</v>
      </c>
      <c r="DB90" s="399">
        <v>0</v>
      </c>
      <c r="DC90" s="399">
        <v>4319.9976191570022</v>
      </c>
      <c r="DD90" s="399">
        <v>0</v>
      </c>
      <c r="DE90" s="399">
        <v>0</v>
      </c>
      <c r="DF90" s="399">
        <v>0</v>
      </c>
      <c r="DG90" s="399">
        <v>198.49375252980417</v>
      </c>
      <c r="DH90" s="399">
        <v>0</v>
      </c>
      <c r="DI90" s="399">
        <v>-2706.1906705730325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-409.56551878487699</v>
      </c>
      <c r="DP90" s="399">
        <v>-43.60747979549501</v>
      </c>
      <c r="DQ90" s="399">
        <v>0</v>
      </c>
      <c r="DR90" s="399">
        <v>0</v>
      </c>
      <c r="DS90" s="399"/>
      <c r="DT90" s="399"/>
      <c r="DU90" s="399"/>
      <c r="DV90" s="399">
        <v>0</v>
      </c>
      <c r="DW90" s="399">
        <v>0</v>
      </c>
      <c r="DX90" s="399">
        <v>0</v>
      </c>
      <c r="DY90" s="399">
        <v>-2962.4969000000019</v>
      </c>
      <c r="DZ90" s="399">
        <v>4321.1189999999915</v>
      </c>
      <c r="EA90" s="399">
        <v>0</v>
      </c>
      <c r="EB90" s="399">
        <v>0</v>
      </c>
      <c r="EC90" s="399">
        <v>0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227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956</v>
      </c>
      <c r="C91" s="399" t="s">
        <v>2334</v>
      </c>
      <c r="D91" s="399" t="s">
        <v>533</v>
      </c>
      <c r="E91" s="399" t="s">
        <v>890</v>
      </c>
      <c r="F91" s="399" t="s">
        <v>1239</v>
      </c>
      <c r="G91" s="399" t="s">
        <v>1239</v>
      </c>
      <c r="H91" s="399" t="s">
        <v>1239</v>
      </c>
      <c r="I91" s="399" t="s">
        <v>1239</v>
      </c>
      <c r="J91" s="399" t="s">
        <v>2329</v>
      </c>
      <c r="K91" s="789">
        <v>44593</v>
      </c>
      <c r="L91" s="399">
        <v>2304</v>
      </c>
      <c r="M91" s="399">
        <v>2304</v>
      </c>
      <c r="N91" s="399">
        <v>0</v>
      </c>
      <c r="O91" s="399">
        <v>0</v>
      </c>
      <c r="P91" s="399">
        <v>0</v>
      </c>
      <c r="Q91" s="399">
        <v>0</v>
      </c>
      <c r="R91" s="399">
        <v>26.79</v>
      </c>
      <c r="S91" s="399"/>
      <c r="T91" s="399"/>
      <c r="U91" s="399">
        <v>61724.159999999996</v>
      </c>
      <c r="V91" s="399"/>
      <c r="W91" s="399">
        <v>61724.159999999996</v>
      </c>
      <c r="X91" s="399">
        <v>35320.32</v>
      </c>
      <c r="Y91" s="399">
        <v>0</v>
      </c>
      <c r="Z91" s="399">
        <v>0</v>
      </c>
      <c r="AA91" s="399">
        <v>0</v>
      </c>
      <c r="AB91" s="399">
        <v>0</v>
      </c>
      <c r="AC91" s="399">
        <v>0</v>
      </c>
      <c r="AD91" s="399">
        <v>23207.23130487552</v>
      </c>
      <c r="AE91" s="399">
        <v>38524.810327852727</v>
      </c>
      <c r="AF91" s="399"/>
      <c r="AG91" s="399"/>
      <c r="AH91" s="399"/>
      <c r="AI91" s="399">
        <v>0</v>
      </c>
      <c r="AJ91" s="399">
        <v>0</v>
      </c>
      <c r="AK91" s="399">
        <v>0</v>
      </c>
      <c r="AL91" s="399">
        <v>0</v>
      </c>
      <c r="AM91" s="399"/>
      <c r="AN91" s="399">
        <v>0</v>
      </c>
      <c r="AO91" s="399">
        <v>0</v>
      </c>
      <c r="AP91" s="399">
        <v>0</v>
      </c>
      <c r="AQ91" s="399">
        <v>0</v>
      </c>
      <c r="AR91" s="399">
        <v>0</v>
      </c>
      <c r="AS91" s="399"/>
      <c r="AT91" s="399"/>
      <c r="AU91" s="399">
        <v>0</v>
      </c>
      <c r="AV91" s="399">
        <v>0</v>
      </c>
      <c r="AW91" s="399">
        <v>0</v>
      </c>
      <c r="AX91" s="399"/>
      <c r="AY91" s="399"/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/>
      <c r="BG91" s="399">
        <v>0</v>
      </c>
      <c r="BH91" s="399">
        <v>0</v>
      </c>
      <c r="BI91" s="399">
        <v>801.23</v>
      </c>
      <c r="BJ91" s="399">
        <v>3705.28</v>
      </c>
      <c r="BK91" s="399">
        <v>78207.97</v>
      </c>
      <c r="BL91" s="399">
        <v>12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0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35320.32</v>
      </c>
      <c r="CJ91" s="399">
        <v>-26403.870000000003</v>
      </c>
      <c r="CK91" s="399"/>
      <c r="CL91" s="399"/>
      <c r="CM91" s="399"/>
      <c r="CN91" s="399"/>
      <c r="CO91" s="399">
        <v>-26403.839999999997</v>
      </c>
      <c r="CP91" s="399">
        <v>0</v>
      </c>
      <c r="CQ91" s="399">
        <v>29</v>
      </c>
      <c r="CR91" s="399">
        <v>-2899.3216902724671</v>
      </c>
      <c r="CS91" s="399">
        <v>0</v>
      </c>
      <c r="CT91" s="399">
        <v>0</v>
      </c>
      <c r="CU91" s="399">
        <v>0</v>
      </c>
      <c r="CV91" s="399">
        <v>0</v>
      </c>
      <c r="CW91" s="399"/>
      <c r="CX91" s="399"/>
      <c r="CY91" s="399"/>
      <c r="CZ91" s="399">
        <v>-2899.3216902724671</v>
      </c>
      <c r="DA91" s="399">
        <v>0</v>
      </c>
      <c r="DB91" s="399">
        <v>0</v>
      </c>
      <c r="DC91" s="399"/>
      <c r="DD91" s="399"/>
      <c r="DE91" s="399">
        <v>0</v>
      </c>
      <c r="DF91" s="399">
        <v>0</v>
      </c>
      <c r="DG91" s="399">
        <v>0</v>
      </c>
      <c r="DH91" s="399">
        <v>0</v>
      </c>
      <c r="DI91" s="399">
        <v>0</v>
      </c>
      <c r="DJ91" s="399"/>
      <c r="DK91" s="399">
        <v>0</v>
      </c>
      <c r="DL91" s="399">
        <v>0</v>
      </c>
      <c r="DM91" s="399"/>
      <c r="DN91" s="399">
        <v>0</v>
      </c>
      <c r="DO91" s="399">
        <v>0</v>
      </c>
      <c r="DP91" s="399">
        <v>0</v>
      </c>
      <c r="DQ91" s="399">
        <v>0</v>
      </c>
      <c r="DR91" s="399">
        <v>0</v>
      </c>
      <c r="DS91" s="399"/>
      <c r="DT91" s="399"/>
      <c r="DU91" s="399">
        <v>38524.810327852727</v>
      </c>
      <c r="DV91" s="399"/>
      <c r="DW91" s="399">
        <v>0</v>
      </c>
      <c r="DX91" s="399">
        <v>0</v>
      </c>
      <c r="DY91" s="399">
        <v>-26403.839999999997</v>
      </c>
      <c r="DZ91" s="399"/>
      <c r="EA91" s="399">
        <v>0</v>
      </c>
      <c r="EB91" s="399"/>
      <c r="EC91" s="399">
        <v>-23502.695508343044</v>
      </c>
      <c r="ED91" s="399"/>
      <c r="EE91" s="399">
        <v>0</v>
      </c>
      <c r="EF91" s="399">
        <v>0</v>
      </c>
      <c r="EG91" s="399"/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/>
      <c r="EN91" s="399"/>
      <c r="EO91" s="399">
        <v>0</v>
      </c>
      <c r="EP91" s="399">
        <v>0</v>
      </c>
      <c r="EQ91" s="399"/>
      <c r="ER91" s="399">
        <v>0</v>
      </c>
      <c r="ES91" s="399"/>
      <c r="ET91" s="399">
        <v>0</v>
      </c>
      <c r="EU91" s="399"/>
      <c r="EV91" s="399">
        <v>227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956</v>
      </c>
      <c r="C92" s="399" t="s">
        <v>2328</v>
      </c>
      <c r="D92" s="399" t="s">
        <v>1826</v>
      </c>
      <c r="E92" s="399" t="s">
        <v>918</v>
      </c>
      <c r="F92" s="399" t="s">
        <v>1239</v>
      </c>
      <c r="G92" s="399" t="s">
        <v>1239</v>
      </c>
      <c r="H92" s="399" t="s">
        <v>1239</v>
      </c>
      <c r="I92" s="399" t="s">
        <v>1239</v>
      </c>
      <c r="J92" s="399" t="s">
        <v>2329</v>
      </c>
      <c r="K92" s="789">
        <v>44593</v>
      </c>
      <c r="L92" s="399">
        <v>0</v>
      </c>
      <c r="M92" s="399">
        <v>0</v>
      </c>
      <c r="N92" s="399">
        <v>16.709</v>
      </c>
      <c r="O92" s="399">
        <v>16.709</v>
      </c>
      <c r="P92" s="399">
        <v>16.709</v>
      </c>
      <c r="Q92" s="399">
        <v>16.709</v>
      </c>
      <c r="R92" s="399"/>
      <c r="S92" s="399">
        <v>425.49</v>
      </c>
      <c r="T92" s="399">
        <v>205.96</v>
      </c>
      <c r="U92" s="399"/>
      <c r="V92" s="399">
        <v>10550.89805</v>
      </c>
      <c r="W92" s="399">
        <v>10550.89805</v>
      </c>
      <c r="X92" s="399">
        <v>7896.3392199999998</v>
      </c>
      <c r="Y92" s="399">
        <v>0</v>
      </c>
      <c r="Z92" s="399">
        <v>1018.8162994870935</v>
      </c>
      <c r="AA92" s="399">
        <v>0</v>
      </c>
      <c r="AB92" s="399">
        <v>0</v>
      </c>
      <c r="AC92" s="399">
        <v>0</v>
      </c>
      <c r="AD92" s="399">
        <v>1354.4695658885923</v>
      </c>
      <c r="AE92" s="399">
        <v>4161.1827954785322</v>
      </c>
      <c r="AF92" s="399">
        <v>3357.4360594148425</v>
      </c>
      <c r="AG92" s="399">
        <v>84.018716947918108</v>
      </c>
      <c r="AH92" s="399">
        <v>0</v>
      </c>
      <c r="AI92" s="399">
        <v>0</v>
      </c>
      <c r="AJ92" s="399">
        <v>0</v>
      </c>
      <c r="AK92" s="399">
        <v>0</v>
      </c>
      <c r="AL92" s="399">
        <v>157.45176056997764</v>
      </c>
      <c r="AM92" s="399"/>
      <c r="AN92" s="399">
        <v>18.078355362490196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399.55339426054525</v>
      </c>
      <c r="BH92" s="399">
        <v>0</v>
      </c>
      <c r="BI92" s="399">
        <v>64.44</v>
      </c>
      <c r="BJ92" s="399">
        <v>298.42</v>
      </c>
      <c r="BK92" s="399">
        <v>3482.35</v>
      </c>
      <c r="BL92" s="399">
        <v>53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3756.9894536753877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7896.8118000000004</v>
      </c>
      <c r="CJ92" s="399">
        <v>-2654.11625</v>
      </c>
      <c r="CK92" s="399"/>
      <c r="CL92" s="399"/>
      <c r="CM92" s="399"/>
      <c r="CN92" s="399"/>
      <c r="CO92" s="399">
        <v>-2840.02873</v>
      </c>
      <c r="CP92" s="399">
        <v>185.46989999999991</v>
      </c>
      <c r="CQ92" s="399">
        <v>29</v>
      </c>
      <c r="CR92" s="399">
        <v>-116.09807651294068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-169.21635069710442</v>
      </c>
      <c r="DA92" s="399">
        <v>0</v>
      </c>
      <c r="DB92" s="399">
        <v>0</v>
      </c>
      <c r="DC92" s="399">
        <v>185.42176839501235</v>
      </c>
      <c r="DD92" s="399">
        <v>0</v>
      </c>
      <c r="DE92" s="399">
        <v>0</v>
      </c>
      <c r="DF92" s="399">
        <v>0</v>
      </c>
      <c r="DG92" s="399">
        <v>22.06621231825892</v>
      </c>
      <c r="DH92" s="399">
        <v>0</v>
      </c>
      <c r="DI92" s="399">
        <v>-133.51078551965952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-17.579260328743374</v>
      </c>
      <c r="DP92" s="399">
        <v>-3.279660680705792</v>
      </c>
      <c r="DQ92" s="399">
        <v>0</v>
      </c>
      <c r="DR92" s="399">
        <v>0</v>
      </c>
      <c r="DS92" s="399"/>
      <c r="DT92" s="399"/>
      <c r="DU92" s="399"/>
      <c r="DV92" s="399">
        <v>4161.1827954785322</v>
      </c>
      <c r="DW92" s="399">
        <v>0</v>
      </c>
      <c r="DX92" s="399">
        <v>0</v>
      </c>
      <c r="DY92" s="399">
        <v>-2840.02873</v>
      </c>
      <c r="DZ92" s="399">
        <v>185.46990000000005</v>
      </c>
      <c r="EA92" s="399">
        <v>0</v>
      </c>
      <c r="EB92" s="399">
        <v>0</v>
      </c>
      <c r="EC92" s="399">
        <v>-2538.5981492031042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227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956</v>
      </c>
      <c r="C93" s="399" t="s">
        <v>2328</v>
      </c>
      <c r="D93" s="399" t="s">
        <v>2335</v>
      </c>
      <c r="E93" s="399" t="s">
        <v>894</v>
      </c>
      <c r="F93" s="399" t="s">
        <v>1239</v>
      </c>
      <c r="G93" s="399" t="s">
        <v>1239</v>
      </c>
      <c r="H93" s="399" t="s">
        <v>1239</v>
      </c>
      <c r="I93" s="399" t="s">
        <v>1239</v>
      </c>
      <c r="J93" s="399" t="s">
        <v>2329</v>
      </c>
      <c r="K93" s="789">
        <v>44593</v>
      </c>
      <c r="L93" s="399">
        <v>0</v>
      </c>
      <c r="M93" s="399">
        <v>0</v>
      </c>
      <c r="N93" s="399">
        <v>81.055999999999997</v>
      </c>
      <c r="O93" s="399">
        <v>81.055999999999997</v>
      </c>
      <c r="P93" s="399">
        <v>81.055999999999997</v>
      </c>
      <c r="Q93" s="399">
        <v>81.055999999999997</v>
      </c>
      <c r="R93" s="399"/>
      <c r="S93" s="399">
        <v>425.49</v>
      </c>
      <c r="T93" s="399">
        <v>205.96</v>
      </c>
      <c r="U93" s="399"/>
      <c r="V93" s="399">
        <v>51182.811200000004</v>
      </c>
      <c r="W93" s="399">
        <v>51182.811200000004</v>
      </c>
      <c r="X93" s="399">
        <v>38305.444480000006</v>
      </c>
      <c r="Y93" s="399">
        <v>0</v>
      </c>
      <c r="Z93" s="399">
        <v>4942.3169532123911</v>
      </c>
      <c r="AA93" s="399">
        <v>0</v>
      </c>
      <c r="AB93" s="399">
        <v>0</v>
      </c>
      <c r="AC93" s="399">
        <v>0</v>
      </c>
      <c r="AD93" s="399">
        <v>6570.5838250443321</v>
      </c>
      <c r="AE93" s="399">
        <v>20186.057374487275</v>
      </c>
      <c r="AF93" s="399">
        <v>16287.051124060654</v>
      </c>
      <c r="AG93" s="399">
        <v>407.57801908734513</v>
      </c>
      <c r="AH93" s="399">
        <v>0</v>
      </c>
      <c r="AI93" s="399">
        <v>0</v>
      </c>
      <c r="AJ93" s="399">
        <v>0</v>
      </c>
      <c r="AK93" s="399">
        <v>0</v>
      </c>
      <c r="AL93" s="399">
        <v>763.80453077743175</v>
      </c>
      <c r="AM93" s="399"/>
      <c r="AN93" s="399">
        <v>87.698795395415971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1938.2488434486056</v>
      </c>
      <c r="BH93" s="399">
        <v>0</v>
      </c>
      <c r="BI93" s="399">
        <v>137.52000000000001</v>
      </c>
      <c r="BJ93" s="399">
        <v>641.47</v>
      </c>
      <c r="BK93" s="399">
        <v>7717.35</v>
      </c>
      <c r="BL93" s="399">
        <v>244</v>
      </c>
      <c r="BM93" s="399"/>
      <c r="BN93" s="399"/>
      <c r="BO93" s="399"/>
      <c r="BP93" s="399"/>
      <c r="BQ93" s="399"/>
      <c r="BR93" s="399">
        <v>4597.496320000002</v>
      </c>
      <c r="BS93" s="399"/>
      <c r="BT93" s="399"/>
      <c r="BU93" s="399"/>
      <c r="BV93" s="399">
        <v>18225.299967509258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33709.611600000004</v>
      </c>
      <c r="CJ93" s="399">
        <v>-11331.616479999997</v>
      </c>
      <c r="CK93" s="399"/>
      <c r="CL93" s="399"/>
      <c r="CM93" s="399"/>
      <c r="CN93" s="399"/>
      <c r="CO93" s="399">
        <v>-13777.088319999999</v>
      </c>
      <c r="CP93" s="399">
        <v>899.72159999999951</v>
      </c>
      <c r="CQ93" s="399">
        <v>29</v>
      </c>
      <c r="CR93" s="399">
        <v>-563.19622298359172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-820.8750088039078</v>
      </c>
      <c r="DA93" s="399">
        <v>0</v>
      </c>
      <c r="DB93" s="399">
        <v>0</v>
      </c>
      <c r="DC93" s="399">
        <v>899.48811173775539</v>
      </c>
      <c r="DD93" s="399">
        <v>0</v>
      </c>
      <c r="DE93" s="399">
        <v>0</v>
      </c>
      <c r="DF93" s="399">
        <v>0</v>
      </c>
      <c r="DG93" s="399">
        <v>107.04404247224852</v>
      </c>
      <c r="DH93" s="399">
        <v>0</v>
      </c>
      <c r="DI93" s="399">
        <v>-647.6659423712681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-85.277666240147369</v>
      </c>
      <c r="DP93" s="399">
        <v>-15.909759778280488</v>
      </c>
      <c r="DQ93" s="399">
        <v>0</v>
      </c>
      <c r="DR93" s="399">
        <v>0</v>
      </c>
      <c r="DS93" s="399"/>
      <c r="DT93" s="399"/>
      <c r="DU93" s="399"/>
      <c r="DV93" s="399">
        <v>20186.057374487275</v>
      </c>
      <c r="DW93" s="399">
        <v>0</v>
      </c>
      <c r="DX93" s="399">
        <v>0</v>
      </c>
      <c r="DY93" s="399">
        <v>-13777.088320000003</v>
      </c>
      <c r="DZ93" s="399">
        <v>899.72160000000076</v>
      </c>
      <c r="EA93" s="399">
        <v>0</v>
      </c>
      <c r="EB93" s="399">
        <v>0</v>
      </c>
      <c r="EC93" s="399">
        <v>-12314.837008905786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227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956</v>
      </c>
      <c r="C94" s="399" t="s">
        <v>2328</v>
      </c>
      <c r="D94" s="399" t="s">
        <v>1826</v>
      </c>
      <c r="E94" s="399" t="s">
        <v>2336</v>
      </c>
      <c r="F94" s="399" t="s">
        <v>1239</v>
      </c>
      <c r="G94" s="399" t="s">
        <v>1239</v>
      </c>
      <c r="H94" s="399" t="s">
        <v>1239</v>
      </c>
      <c r="I94" s="399" t="s">
        <v>1239</v>
      </c>
      <c r="J94" s="399" t="s">
        <v>2329</v>
      </c>
      <c r="K94" s="789">
        <v>44593</v>
      </c>
      <c r="L94" s="399">
        <v>0</v>
      </c>
      <c r="M94" s="399">
        <v>0</v>
      </c>
      <c r="N94" s="399">
        <v>3.7519999999999998</v>
      </c>
      <c r="O94" s="399">
        <v>3.7519999999999998</v>
      </c>
      <c r="P94" s="399">
        <v>3.7519999999999998</v>
      </c>
      <c r="Q94" s="399">
        <v>3.7519999999999998</v>
      </c>
      <c r="R94" s="399"/>
      <c r="S94" s="399">
        <v>425.49</v>
      </c>
      <c r="T94" s="399">
        <v>205.96</v>
      </c>
      <c r="U94" s="399"/>
      <c r="V94" s="399">
        <v>2369.2004000000002</v>
      </c>
      <c r="W94" s="399">
        <v>2369.2004000000002</v>
      </c>
      <c r="X94" s="399">
        <v>1773.1201599999999</v>
      </c>
      <c r="Y94" s="399">
        <v>0</v>
      </c>
      <c r="Z94" s="399">
        <v>228.77483725390954</v>
      </c>
      <c r="AA94" s="399">
        <v>0</v>
      </c>
      <c r="AB94" s="399">
        <v>0</v>
      </c>
      <c r="AC94" s="399">
        <v>0</v>
      </c>
      <c r="AD94" s="399">
        <v>304.14565869974257</v>
      </c>
      <c r="AE94" s="399">
        <v>934.39211494616382</v>
      </c>
      <c r="AF94" s="399">
        <v>753.91107157367219</v>
      </c>
      <c r="AG94" s="399">
        <v>18.866372971966527</v>
      </c>
      <c r="AH94" s="399">
        <v>0</v>
      </c>
      <c r="AI94" s="399">
        <v>0</v>
      </c>
      <c r="AJ94" s="399">
        <v>0</v>
      </c>
      <c r="AK94" s="399">
        <v>0</v>
      </c>
      <c r="AL94" s="399">
        <v>35.355736768122334</v>
      </c>
      <c r="AM94" s="399"/>
      <c r="AN94" s="399">
        <v>4.0594882590258674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89.719572402032767</v>
      </c>
      <c r="BH94" s="399">
        <v>0</v>
      </c>
      <c r="BI94" s="399">
        <v>20.91</v>
      </c>
      <c r="BJ94" s="399">
        <v>96.98</v>
      </c>
      <c r="BK94" s="399">
        <v>807.86</v>
      </c>
      <c r="BL94" s="399">
        <v>13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843.63064397570497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1772.1750000000002</v>
      </c>
      <c r="CJ94" s="399">
        <v>-597.05540000000019</v>
      </c>
      <c r="CK94" s="399"/>
      <c r="CL94" s="399"/>
      <c r="CM94" s="399"/>
      <c r="CN94" s="399"/>
      <c r="CO94" s="399">
        <v>-637.72744</v>
      </c>
      <c r="CP94" s="399">
        <v>41.647199999999977</v>
      </c>
      <c r="CQ94" s="399">
        <v>29</v>
      </c>
      <c r="CR94" s="399">
        <v>-26.069781738976417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-37.997471291850843</v>
      </c>
      <c r="DA94" s="399">
        <v>0</v>
      </c>
      <c r="DB94" s="399">
        <v>0</v>
      </c>
      <c r="DC94" s="399">
        <v>41.636392065239534</v>
      </c>
      <c r="DD94" s="399">
        <v>0</v>
      </c>
      <c r="DE94" s="399">
        <v>0</v>
      </c>
      <c r="DF94" s="399">
        <v>0</v>
      </c>
      <c r="DG94" s="399">
        <v>4.9549601183857561</v>
      </c>
      <c r="DH94" s="399">
        <v>0</v>
      </c>
      <c r="DI94" s="399">
        <v>-29.979799345847283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-3.9474166469235215</v>
      </c>
      <c r="DP94" s="399">
        <v>-0.73644663798001853</v>
      </c>
      <c r="DQ94" s="399">
        <v>0</v>
      </c>
      <c r="DR94" s="399">
        <v>0</v>
      </c>
      <c r="DS94" s="399"/>
      <c r="DT94" s="399"/>
      <c r="DU94" s="399"/>
      <c r="DV94" s="399">
        <v>934.39211494616382</v>
      </c>
      <c r="DW94" s="399">
        <v>0</v>
      </c>
      <c r="DX94" s="399">
        <v>0</v>
      </c>
      <c r="DY94" s="399">
        <v>-637.72744</v>
      </c>
      <c r="DZ94" s="399">
        <v>41.647199999999884</v>
      </c>
      <c r="EA94" s="399">
        <v>0</v>
      </c>
      <c r="EB94" s="399">
        <v>0</v>
      </c>
      <c r="EC94" s="399">
        <v>-570.04131042013557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227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956</v>
      </c>
      <c r="C95" s="399" t="s">
        <v>2328</v>
      </c>
      <c r="D95" s="399" t="s">
        <v>2337</v>
      </c>
      <c r="E95" s="399" t="s">
        <v>2338</v>
      </c>
      <c r="F95" s="399" t="s">
        <v>2339</v>
      </c>
      <c r="G95" s="399" t="s">
        <v>1239</v>
      </c>
      <c r="H95" s="399" t="s">
        <v>1239</v>
      </c>
      <c r="I95" s="399" t="s">
        <v>1239</v>
      </c>
      <c r="J95" s="399" t="s">
        <v>2329</v>
      </c>
      <c r="K95" s="789">
        <v>44593</v>
      </c>
      <c r="L95" s="399">
        <v>0</v>
      </c>
      <c r="M95" s="399">
        <v>0</v>
      </c>
      <c r="N95" s="399">
        <v>21.187000000000001</v>
      </c>
      <c r="O95" s="399">
        <v>21.187000000000001</v>
      </c>
      <c r="P95" s="399">
        <v>21.187000000000001</v>
      </c>
      <c r="Q95" s="399">
        <v>21.187000000000001</v>
      </c>
      <c r="R95" s="399"/>
      <c r="S95" s="399">
        <v>234.02</v>
      </c>
      <c r="T95" s="399">
        <v>113.28</v>
      </c>
      <c r="U95" s="399"/>
      <c r="V95" s="399">
        <v>7358.245100000001</v>
      </c>
      <c r="W95" s="399">
        <v>7358.245100000001</v>
      </c>
      <c r="X95" s="399">
        <v>5506.71317</v>
      </c>
      <c r="Y95" s="399">
        <v>0</v>
      </c>
      <c r="Z95" s="399">
        <v>710.52208483321374</v>
      </c>
      <c r="AA95" s="399">
        <v>0</v>
      </c>
      <c r="AB95" s="399">
        <v>0</v>
      </c>
      <c r="AC95" s="399">
        <v>0</v>
      </c>
      <c r="AD95" s="399">
        <v>944.60654023968482</v>
      </c>
      <c r="AE95" s="399">
        <v>2902.0072379132125</v>
      </c>
      <c r="AF95" s="399">
        <v>2341.4745816597119</v>
      </c>
      <c r="AG95" s="399">
        <v>58.594620012361389</v>
      </c>
      <c r="AH95" s="399">
        <v>0</v>
      </c>
      <c r="AI95" s="399">
        <v>0</v>
      </c>
      <c r="AJ95" s="399">
        <v>0</v>
      </c>
      <c r="AK95" s="399">
        <v>0</v>
      </c>
      <c r="AL95" s="399">
        <v>109.80679562857526</v>
      </c>
      <c r="AM95" s="399"/>
      <c r="AN95" s="399">
        <v>12.607837888909824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278.64837933502974</v>
      </c>
      <c r="BH95" s="399">
        <v>0</v>
      </c>
      <c r="BI95" s="399">
        <v>77.56</v>
      </c>
      <c r="BJ95" s="399">
        <v>358.04</v>
      </c>
      <c r="BK95" s="399">
        <v>2983.6</v>
      </c>
      <c r="BL95" s="399">
        <v>2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>
        <v>2620.1229609947418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5507.4929000000002</v>
      </c>
      <c r="CJ95" s="399">
        <v>-1850.7822000000015</v>
      </c>
      <c r="CK95" s="399"/>
      <c r="CL95" s="399"/>
      <c r="CM95" s="399"/>
      <c r="CN95" s="399"/>
      <c r="CO95" s="399">
        <v>-1980.7726300000004</v>
      </c>
      <c r="CP95" s="399">
        <v>129.24069999999989</v>
      </c>
      <c r="CQ95" s="399">
        <v>29</v>
      </c>
      <c r="CR95" s="399">
        <v>-80.966752701749101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-118.01141613625964</v>
      </c>
      <c r="DA95" s="399">
        <v>0</v>
      </c>
      <c r="DB95" s="399">
        <v>0</v>
      </c>
      <c r="DC95" s="399">
        <v>129.31306803771167</v>
      </c>
      <c r="DD95" s="399">
        <v>0</v>
      </c>
      <c r="DE95" s="399">
        <v>0</v>
      </c>
      <c r="DF95" s="399">
        <v>0</v>
      </c>
      <c r="DG95" s="399">
        <v>15.388967754671853</v>
      </c>
      <c r="DH95" s="399">
        <v>0</v>
      </c>
      <c r="DI95" s="399">
        <v>-93.110369085088678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-12.259769209515767</v>
      </c>
      <c r="DP95" s="399">
        <v>-2.2872340632690573</v>
      </c>
      <c r="DQ95" s="399">
        <v>0</v>
      </c>
      <c r="DR95" s="399">
        <v>0</v>
      </c>
      <c r="DS95" s="399"/>
      <c r="DT95" s="399"/>
      <c r="DU95" s="399"/>
      <c r="DV95" s="399">
        <v>2902.0072379132125</v>
      </c>
      <c r="DW95" s="399">
        <v>0</v>
      </c>
      <c r="DX95" s="399">
        <v>0</v>
      </c>
      <c r="DY95" s="399">
        <v>-1980.7726300000008</v>
      </c>
      <c r="DZ95" s="399">
        <v>129.24069999999983</v>
      </c>
      <c r="EA95" s="399">
        <v>0</v>
      </c>
      <c r="EB95" s="399">
        <v>0</v>
      </c>
      <c r="EC95" s="399">
        <v>-1770.4173465163226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227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956</v>
      </c>
      <c r="C96" s="399" t="s">
        <v>2328</v>
      </c>
      <c r="D96" s="399" t="s">
        <v>2335</v>
      </c>
      <c r="E96" s="399" t="s">
        <v>894</v>
      </c>
      <c r="F96" s="399" t="s">
        <v>2342</v>
      </c>
      <c r="G96" s="399" t="s">
        <v>2340</v>
      </c>
      <c r="H96" s="399" t="s">
        <v>1239</v>
      </c>
      <c r="I96" s="399" t="s">
        <v>1239</v>
      </c>
      <c r="J96" s="399" t="s">
        <v>2329</v>
      </c>
      <c r="K96" s="789">
        <v>44593</v>
      </c>
      <c r="L96" s="399">
        <v>0</v>
      </c>
      <c r="M96" s="399">
        <v>0</v>
      </c>
      <c r="N96" s="399">
        <v>0</v>
      </c>
      <c r="O96" s="399">
        <v>0</v>
      </c>
      <c r="P96" s="399">
        <v>0</v>
      </c>
      <c r="Q96" s="399">
        <v>0</v>
      </c>
      <c r="R96" s="399"/>
      <c r="S96" s="399"/>
      <c r="T96" s="399"/>
      <c r="U96" s="399"/>
      <c r="V96" s="399"/>
      <c r="W96" s="399"/>
      <c r="X96" s="399"/>
      <c r="Y96" s="399"/>
      <c r="Z96" s="399"/>
      <c r="AA96" s="399">
        <v>0</v>
      </c>
      <c r="AB96" s="399"/>
      <c r="AC96" s="399"/>
      <c r="AD96" s="399"/>
      <c r="AE96" s="399"/>
      <c r="AF96" s="399"/>
      <c r="AG96" s="399"/>
      <c r="AH96" s="399"/>
      <c r="AI96" s="399"/>
      <c r="AJ96" s="399"/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>
        <v>0</v>
      </c>
      <c r="BA96" s="399"/>
      <c r="BB96" s="399"/>
      <c r="BC96" s="399"/>
      <c r="BD96" s="399"/>
      <c r="BE96" s="399"/>
      <c r="BF96" s="399"/>
      <c r="BG96" s="399"/>
      <c r="BH96" s="399"/>
      <c r="BI96" s="399">
        <v>0.3</v>
      </c>
      <c r="BJ96" s="399">
        <v>1.42</v>
      </c>
      <c r="BK96" s="399">
        <v>15.36</v>
      </c>
      <c r="BL96" s="399">
        <v>1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/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/>
      <c r="CJ96" s="399">
        <v>-0.03</v>
      </c>
      <c r="CK96" s="399"/>
      <c r="CL96" s="399"/>
      <c r="CM96" s="399"/>
      <c r="CN96" s="399"/>
      <c r="CO96" s="399">
        <v>0</v>
      </c>
      <c r="CP96" s="399">
        <v>0</v>
      </c>
      <c r="CQ96" s="399">
        <v>29</v>
      </c>
      <c r="CR96" s="399"/>
      <c r="CS96" s="399"/>
      <c r="CT96" s="399"/>
      <c r="CU96" s="399"/>
      <c r="CV96" s="399"/>
      <c r="CW96" s="399"/>
      <c r="CX96" s="399"/>
      <c r="CY96" s="399"/>
      <c r="CZ96" s="399"/>
      <c r="DA96" s="399"/>
      <c r="DB96" s="399"/>
      <c r="DC96" s="399"/>
      <c r="DD96" s="399"/>
      <c r="DE96" s="399"/>
      <c r="DF96" s="399"/>
      <c r="DG96" s="399"/>
      <c r="DH96" s="399"/>
      <c r="DI96" s="399"/>
      <c r="DJ96" s="399"/>
      <c r="DK96" s="399">
        <v>0</v>
      </c>
      <c r="DL96" s="399"/>
      <c r="DM96" s="399"/>
      <c r="DN96" s="399"/>
      <c r="DO96" s="399"/>
      <c r="DP96" s="399"/>
      <c r="DQ96" s="399"/>
      <c r="DR96" s="399"/>
      <c r="DS96" s="399"/>
      <c r="DT96" s="399"/>
      <c r="DU96" s="399"/>
      <c r="DV96" s="399"/>
      <c r="DW96" s="399"/>
      <c r="DX96" s="399"/>
      <c r="DY96" s="399"/>
      <c r="DZ96" s="399"/>
      <c r="EA96" s="399"/>
      <c r="EB96" s="399"/>
      <c r="EC96" s="399"/>
      <c r="ED96" s="399"/>
      <c r="EE96" s="399"/>
      <c r="EF96" s="399"/>
      <c r="EG96" s="399"/>
      <c r="EH96" s="399"/>
      <c r="EI96" s="399"/>
      <c r="EJ96" s="399"/>
      <c r="EK96" s="399"/>
      <c r="EL96" s="399"/>
      <c r="EM96" s="399"/>
      <c r="EN96" s="399"/>
      <c r="EO96" s="399"/>
      <c r="EP96" s="399"/>
      <c r="EQ96" s="399"/>
      <c r="ER96" s="399"/>
      <c r="ES96" s="399"/>
      <c r="ET96" s="399"/>
      <c r="EU96" s="399"/>
      <c r="EV96" s="399">
        <v>227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956</v>
      </c>
      <c r="C97" s="399" t="s">
        <v>2328</v>
      </c>
      <c r="D97" s="399" t="s">
        <v>2335</v>
      </c>
      <c r="E97" s="399" t="s">
        <v>894</v>
      </c>
      <c r="F97" s="399" t="s">
        <v>2342</v>
      </c>
      <c r="G97" s="399" t="s">
        <v>2340</v>
      </c>
      <c r="H97" s="399" t="s">
        <v>1239</v>
      </c>
      <c r="I97" s="399" t="s">
        <v>1239</v>
      </c>
      <c r="J97" s="399" t="s">
        <v>2329</v>
      </c>
      <c r="K97" s="789">
        <v>44593</v>
      </c>
      <c r="L97" s="399">
        <v>0</v>
      </c>
      <c r="M97" s="399">
        <v>0</v>
      </c>
      <c r="N97" s="399">
        <v>0.16700000000000001</v>
      </c>
      <c r="O97" s="399">
        <v>0.16700000000000001</v>
      </c>
      <c r="P97" s="399">
        <v>0.16700000000000001</v>
      </c>
      <c r="Q97" s="399">
        <v>0.16700000000000001</v>
      </c>
      <c r="R97" s="399"/>
      <c r="S97" s="399">
        <v>425.49</v>
      </c>
      <c r="T97" s="399">
        <v>205.96</v>
      </c>
      <c r="U97" s="399"/>
      <c r="V97" s="399">
        <v>105.45215000000002</v>
      </c>
      <c r="W97" s="399">
        <v>105.45215000000002</v>
      </c>
      <c r="X97" s="399">
        <v>78.920860000000005</v>
      </c>
      <c r="Y97" s="399">
        <v>0</v>
      </c>
      <c r="Z97" s="399">
        <v>10.182675325533822</v>
      </c>
      <c r="AA97" s="399">
        <v>0</v>
      </c>
      <c r="AB97" s="399">
        <v>0</v>
      </c>
      <c r="AC97" s="399">
        <v>0</v>
      </c>
      <c r="AD97" s="399">
        <v>13.537400054066369</v>
      </c>
      <c r="AE97" s="399">
        <v>41.589414497870301</v>
      </c>
      <c r="AF97" s="399">
        <v>33.556276373348418</v>
      </c>
      <c r="AG97" s="399">
        <v>0.83973461788870218</v>
      </c>
      <c r="AH97" s="399">
        <v>0</v>
      </c>
      <c r="AI97" s="399">
        <v>0</v>
      </c>
      <c r="AJ97" s="399">
        <v>0</v>
      </c>
      <c r="AK97" s="399">
        <v>0</v>
      </c>
      <c r="AL97" s="399">
        <v>1.573669520329539</v>
      </c>
      <c r="AM97" s="399"/>
      <c r="AN97" s="399">
        <v>0.18068617784043708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3.9933818206661713</v>
      </c>
      <c r="BH97" s="399">
        <v>0</v>
      </c>
      <c r="BI97" s="399">
        <v>0</v>
      </c>
      <c r="BJ97" s="399">
        <v>0</v>
      </c>
      <c r="BK97" s="399">
        <v>0</v>
      </c>
      <c r="BL97" s="399">
        <v>0</v>
      </c>
      <c r="BM97" s="399"/>
      <c r="BN97" s="399"/>
      <c r="BO97" s="399"/>
      <c r="BP97" s="399"/>
      <c r="BQ97" s="399"/>
      <c r="BR97" s="399">
        <v>9.4722400000000064</v>
      </c>
      <c r="BS97" s="399"/>
      <c r="BT97" s="399"/>
      <c r="BU97" s="399"/>
      <c r="BV97" s="399">
        <v>37.54965819401459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70.696200000000005</v>
      </c>
      <c r="CJ97" s="399">
        <v>-22.132360000000006</v>
      </c>
      <c r="CK97" s="399"/>
      <c r="CL97" s="399"/>
      <c r="CM97" s="399"/>
      <c r="CN97" s="399"/>
      <c r="CO97" s="399">
        <v>-28.384990000000002</v>
      </c>
      <c r="CP97" s="399">
        <v>1.8536999999999992</v>
      </c>
      <c r="CQ97" s="399">
        <v>29</v>
      </c>
      <c r="CR97" s="399">
        <v>-1.1603554238830114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-1.6912520537684159</v>
      </c>
      <c r="DA97" s="399">
        <v>0</v>
      </c>
      <c r="DB97" s="399">
        <v>0</v>
      </c>
      <c r="DC97" s="399">
        <v>1.8532189432022932</v>
      </c>
      <c r="DD97" s="399">
        <v>0</v>
      </c>
      <c r="DE97" s="399">
        <v>0</v>
      </c>
      <c r="DF97" s="399">
        <v>0</v>
      </c>
      <c r="DG97" s="399">
        <v>0.22054326752943032</v>
      </c>
      <c r="DH97" s="399">
        <v>0</v>
      </c>
      <c r="DI97" s="399">
        <v>-1.3343887235491732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-0.17569791578790728</v>
      </c>
      <c r="DP97" s="399">
        <v>-3.2778941509238574E-2</v>
      </c>
      <c r="DQ97" s="399">
        <v>0</v>
      </c>
      <c r="DR97" s="399">
        <v>0</v>
      </c>
      <c r="DS97" s="399"/>
      <c r="DT97" s="399"/>
      <c r="DU97" s="399"/>
      <c r="DV97" s="399">
        <v>41.589414497870301</v>
      </c>
      <c r="DW97" s="399">
        <v>0</v>
      </c>
      <c r="DX97" s="399">
        <v>0</v>
      </c>
      <c r="DY97" s="399">
        <v>-28.384990000000002</v>
      </c>
      <c r="DZ97" s="399">
        <v>1.8536999999999964</v>
      </c>
      <c r="EA97" s="399">
        <v>0</v>
      </c>
      <c r="EB97" s="399">
        <v>0</v>
      </c>
      <c r="EC97" s="399">
        <v>-25.372307793220322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227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956</v>
      </c>
      <c r="C98" s="399" t="s">
        <v>2328</v>
      </c>
      <c r="D98" s="399" t="s">
        <v>2335</v>
      </c>
      <c r="E98" s="399" t="s">
        <v>894</v>
      </c>
      <c r="F98" s="399" t="s">
        <v>2342</v>
      </c>
      <c r="G98" s="399" t="s">
        <v>2341</v>
      </c>
      <c r="H98" s="399" t="s">
        <v>1239</v>
      </c>
      <c r="I98" s="399" t="s">
        <v>1239</v>
      </c>
      <c r="J98" s="399" t="s">
        <v>2329</v>
      </c>
      <c r="K98" s="789">
        <v>44593</v>
      </c>
      <c r="L98" s="399">
        <v>0</v>
      </c>
      <c r="M98" s="399">
        <v>0</v>
      </c>
      <c r="N98" s="399">
        <v>0.08</v>
      </c>
      <c r="O98" s="399">
        <v>3.2000000000000001E-2</v>
      </c>
      <c r="P98" s="399">
        <v>0.08</v>
      </c>
      <c r="Q98" s="399">
        <v>3.2000000000000001E-2</v>
      </c>
      <c r="R98" s="399"/>
      <c r="S98" s="399">
        <v>425.49</v>
      </c>
      <c r="T98" s="399">
        <v>205.96</v>
      </c>
      <c r="U98" s="399"/>
      <c r="V98" s="399">
        <v>50.516000000000005</v>
      </c>
      <c r="W98" s="399">
        <v>50.516000000000005</v>
      </c>
      <c r="X98" s="399">
        <v>37.806399999999996</v>
      </c>
      <c r="Y98" s="399">
        <v>0</v>
      </c>
      <c r="Z98" s="399">
        <v>4.8779282996569204</v>
      </c>
      <c r="AA98" s="399">
        <v>0</v>
      </c>
      <c r="AB98" s="399">
        <v>0</v>
      </c>
      <c r="AC98" s="399">
        <v>0</v>
      </c>
      <c r="AD98" s="399">
        <v>6.4849820618281999</v>
      </c>
      <c r="AE98" s="399">
        <v>19.923072813351041</v>
      </c>
      <c r="AF98" s="399">
        <v>16.074862933340562</v>
      </c>
      <c r="AG98" s="399">
        <v>0.40226808042572559</v>
      </c>
      <c r="AH98" s="399">
        <v>0</v>
      </c>
      <c r="AI98" s="399">
        <v>0</v>
      </c>
      <c r="AJ98" s="399">
        <v>0</v>
      </c>
      <c r="AK98" s="399">
        <v>0</v>
      </c>
      <c r="AL98" s="399">
        <v>0.75385366243331209</v>
      </c>
      <c r="AM98" s="399"/>
      <c r="AN98" s="399">
        <v>8.6556252857694402E-2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1.9129972793610401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>
        <v>24.498880000000003</v>
      </c>
      <c r="BT98" s="399"/>
      <c r="BU98" s="399"/>
      <c r="BV98" s="399">
        <v>17.987860212701602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12.4758</v>
      </c>
      <c r="CJ98" s="399">
        <v>-5.3359600000000036</v>
      </c>
      <c r="CK98" s="399"/>
      <c r="CL98" s="399"/>
      <c r="CM98" s="399"/>
      <c r="CN98" s="399"/>
      <c r="CO98" s="399">
        <v>-13.5976</v>
      </c>
      <c r="CP98" s="399">
        <v>0.88799999999999957</v>
      </c>
      <c r="CQ98" s="399">
        <v>29</v>
      </c>
      <c r="CR98" s="399">
        <v>-0.55585888569246578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-0.8101806245597194</v>
      </c>
      <c r="DA98" s="399">
        <v>0</v>
      </c>
      <c r="DB98" s="399">
        <v>0</v>
      </c>
      <c r="DC98" s="399">
        <v>0.88776955362983756</v>
      </c>
      <c r="DD98" s="399">
        <v>0</v>
      </c>
      <c r="DE98" s="399">
        <v>0</v>
      </c>
      <c r="DF98" s="399">
        <v>0</v>
      </c>
      <c r="DG98" s="399">
        <v>0.10564946947517595</v>
      </c>
      <c r="DH98" s="399">
        <v>0</v>
      </c>
      <c r="DI98" s="399">
        <v>-0.63922813104151999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-8.4166666245704125E-2</v>
      </c>
      <c r="DP98" s="399">
        <v>-1.5702486950533445E-2</v>
      </c>
      <c r="DQ98" s="399">
        <v>0</v>
      </c>
      <c r="DR98" s="399">
        <v>0</v>
      </c>
      <c r="DS98" s="399"/>
      <c r="DT98" s="399"/>
      <c r="DU98" s="399"/>
      <c r="DV98" s="399">
        <v>19.923072813351041</v>
      </c>
      <c r="DW98" s="399">
        <v>0</v>
      </c>
      <c r="DX98" s="399">
        <v>0</v>
      </c>
      <c r="DY98" s="399">
        <v>-13.5976</v>
      </c>
      <c r="DZ98" s="399">
        <v>0.88799999999999812</v>
      </c>
      <c r="EA98" s="399">
        <v>0</v>
      </c>
      <c r="EB98" s="399">
        <v>0</v>
      </c>
      <c r="EC98" s="399">
        <v>-12.154398942860034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227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956</v>
      </c>
      <c r="C99" s="399" t="s">
        <v>2328</v>
      </c>
      <c r="D99" s="399" t="s">
        <v>1823</v>
      </c>
      <c r="E99" s="399" t="s">
        <v>889</v>
      </c>
      <c r="F99" s="399" t="s">
        <v>889</v>
      </c>
      <c r="G99" s="399" t="s">
        <v>1239</v>
      </c>
      <c r="H99" s="399" t="s">
        <v>1239</v>
      </c>
      <c r="I99" s="399" t="s">
        <v>1239</v>
      </c>
      <c r="J99" s="399" t="s">
        <v>2329</v>
      </c>
      <c r="K99" s="789">
        <v>44621</v>
      </c>
      <c r="L99" s="399">
        <v>0</v>
      </c>
      <c r="M99" s="399">
        <v>0</v>
      </c>
      <c r="N99" s="399">
        <v>216.96299999999999</v>
      </c>
      <c r="O99" s="399">
        <v>216.96299999999999</v>
      </c>
      <c r="P99" s="399">
        <v>216.96299999999999</v>
      </c>
      <c r="Q99" s="399">
        <v>216.96299999999999</v>
      </c>
      <c r="R99" s="399"/>
      <c r="S99" s="399">
        <v>425.49</v>
      </c>
      <c r="T99" s="399">
        <v>205.96</v>
      </c>
      <c r="U99" s="399"/>
      <c r="V99" s="399">
        <v>137001.28635000001</v>
      </c>
      <c r="W99" s="399">
        <v>137001.28635000001</v>
      </c>
      <c r="X99" s="399">
        <v>102532.37453999999</v>
      </c>
      <c r="Y99" s="399">
        <v>0</v>
      </c>
      <c r="Z99" s="399">
        <v>13229.124470980805</v>
      </c>
      <c r="AA99" s="399">
        <v>0</v>
      </c>
      <c r="AB99" s="399">
        <v>0</v>
      </c>
      <c r="AC99" s="399">
        <v>0</v>
      </c>
      <c r="AD99" s="399">
        <v>17587.514538505398</v>
      </c>
      <c r="AE99" s="399">
        <v>54032.120585038523</v>
      </c>
      <c r="AF99" s="399">
        <v>43595.631082579595</v>
      </c>
      <c r="AG99" s="399">
        <v>1090.9661191675837</v>
      </c>
      <c r="AH99" s="399">
        <v>0</v>
      </c>
      <c r="AI99" s="399">
        <v>0</v>
      </c>
      <c r="AJ99" s="399">
        <v>0</v>
      </c>
      <c r="AK99" s="399">
        <v>0</v>
      </c>
      <c r="AL99" s="399">
        <v>2044.4794020314835</v>
      </c>
      <c r="AM99" s="399"/>
      <c r="AN99" s="399">
        <v>234.74380360954939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5188.1203590251162</v>
      </c>
      <c r="BH99" s="399">
        <v>0</v>
      </c>
      <c r="BI99" s="399">
        <v>737.9</v>
      </c>
      <c r="BJ99" s="399">
        <v>3454.61</v>
      </c>
      <c r="BK99" s="399">
        <v>31482.28</v>
      </c>
      <c r="BL99" s="399">
        <v>945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48783.751441604712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102530.9568</v>
      </c>
      <c r="CJ99" s="399">
        <v>-34470.359550000008</v>
      </c>
      <c r="CK99" s="399"/>
      <c r="CL99" s="399"/>
      <c r="CM99" s="399"/>
      <c r="CN99" s="399"/>
      <c r="CO99" s="399">
        <v>-36877.201110000002</v>
      </c>
      <c r="CP99" s="399">
        <v>2408.2892999999985</v>
      </c>
      <c r="CQ99" s="399">
        <v>31</v>
      </c>
      <c r="CR99" s="399">
        <v>-1507.5101427061745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-2197.240235579382</v>
      </c>
      <c r="DA99" s="399">
        <v>0</v>
      </c>
      <c r="DB99" s="399">
        <v>0</v>
      </c>
      <c r="DC99" s="399">
        <v>2407.6643208023888</v>
      </c>
      <c r="DD99" s="399">
        <v>0</v>
      </c>
      <c r="DE99" s="399">
        <v>0</v>
      </c>
      <c r="DF99" s="399">
        <v>0</v>
      </c>
      <c r="DG99" s="399">
        <v>286.52532307178262</v>
      </c>
      <c r="DH99" s="399">
        <v>0</v>
      </c>
      <c r="DI99" s="399">
        <v>-1733.6106624395179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-228.26315510833365</v>
      </c>
      <c r="DP99" s="399">
        <v>-42.585733453107366</v>
      </c>
      <c r="DQ99" s="399">
        <v>0</v>
      </c>
      <c r="DR99" s="399">
        <v>0</v>
      </c>
      <c r="DS99" s="399"/>
      <c r="DT99" s="399"/>
      <c r="DU99" s="399"/>
      <c r="DV99" s="399">
        <v>54032.120585038523</v>
      </c>
      <c r="DW99" s="399">
        <v>0</v>
      </c>
      <c r="DX99" s="399">
        <v>0</v>
      </c>
      <c r="DY99" s="399">
        <v>-36877.201110000002</v>
      </c>
      <c r="DZ99" s="399">
        <v>2408.2892999999967</v>
      </c>
      <c r="EA99" s="399">
        <v>0</v>
      </c>
      <c r="EB99" s="399">
        <v>0</v>
      </c>
      <c r="EC99" s="399">
        <v>-32963.185722996772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227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956</v>
      </c>
      <c r="C100" s="399" t="s">
        <v>2328</v>
      </c>
      <c r="D100" s="399" t="s">
        <v>1823</v>
      </c>
      <c r="E100" s="399" t="s">
        <v>889</v>
      </c>
      <c r="F100" s="399" t="s">
        <v>2330</v>
      </c>
      <c r="G100" s="399" t="s">
        <v>1239</v>
      </c>
      <c r="H100" s="399" t="s">
        <v>1239</v>
      </c>
      <c r="I100" s="399" t="s">
        <v>1239</v>
      </c>
      <c r="J100" s="399" t="s">
        <v>2329</v>
      </c>
      <c r="K100" s="789">
        <v>44621</v>
      </c>
      <c r="L100" s="399">
        <v>0</v>
      </c>
      <c r="M100" s="399">
        <v>0</v>
      </c>
      <c r="N100" s="399">
        <v>0.27</v>
      </c>
      <c r="O100" s="399">
        <v>0.27</v>
      </c>
      <c r="P100" s="399">
        <v>0.27</v>
      </c>
      <c r="Q100" s="399">
        <v>0.27</v>
      </c>
      <c r="R100" s="399"/>
      <c r="S100" s="399">
        <v>355.1</v>
      </c>
      <c r="T100" s="399">
        <v>205.96</v>
      </c>
      <c r="U100" s="399"/>
      <c r="V100" s="399">
        <v>151.48620000000003</v>
      </c>
      <c r="W100" s="399">
        <v>151.48620000000003</v>
      </c>
      <c r="X100" s="399">
        <v>111.02940000000001</v>
      </c>
      <c r="Y100" s="399">
        <v>0</v>
      </c>
      <c r="Z100" s="399">
        <v>0</v>
      </c>
      <c r="AA100" s="399">
        <v>0</v>
      </c>
      <c r="AB100" s="399">
        <v>0</v>
      </c>
      <c r="AC100" s="399">
        <v>0</v>
      </c>
      <c r="AD100" s="399">
        <v>21.886814458670177</v>
      </c>
      <c r="AE100" s="399">
        <v>67.240370745059764</v>
      </c>
      <c r="AF100" s="399">
        <v>54.252662400024391</v>
      </c>
      <c r="AG100" s="399">
        <v>1.3576547714368239</v>
      </c>
      <c r="AH100" s="399">
        <v>0</v>
      </c>
      <c r="AI100" s="399">
        <v>0</v>
      </c>
      <c r="AJ100" s="399">
        <v>0</v>
      </c>
      <c r="AK100" s="399">
        <v>0</v>
      </c>
      <c r="AL100" s="399">
        <v>0</v>
      </c>
      <c r="AM100" s="399"/>
      <c r="AN100" s="399">
        <v>0.29212735339471863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6.456365817843511</v>
      </c>
      <c r="BH100" s="399">
        <v>0</v>
      </c>
      <c r="BI100" s="399">
        <v>0.22</v>
      </c>
      <c r="BJ100" s="399">
        <v>1.05</v>
      </c>
      <c r="BK100" s="399">
        <v>5.44</v>
      </c>
      <c r="BL100" s="399">
        <v>0</v>
      </c>
      <c r="BM100" s="399"/>
      <c r="BN100" s="399"/>
      <c r="BO100" s="399"/>
      <c r="BP100" s="399"/>
      <c r="BQ100" s="399"/>
      <c r="BR100" s="399"/>
      <c r="BS100" s="399"/>
      <c r="BT100" s="399">
        <v>72.168300000000016</v>
      </c>
      <c r="BU100" s="399"/>
      <c r="BV100" s="399">
        <v>60.709028217867903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38.8611</v>
      </c>
      <c r="CJ100" s="399">
        <v>-14.188800000000001</v>
      </c>
      <c r="CK100" s="399"/>
      <c r="CL100" s="399"/>
      <c r="CM100" s="399"/>
      <c r="CN100" s="399"/>
      <c r="CO100" s="399">
        <v>-43.453800000000008</v>
      </c>
      <c r="CP100" s="399">
        <v>2.9969999999999986</v>
      </c>
      <c r="CQ100" s="399">
        <v>31</v>
      </c>
      <c r="CR100" s="399">
        <v>0.56543370163232964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-2.7343596078890542</v>
      </c>
      <c r="DA100" s="399">
        <v>0</v>
      </c>
      <c r="DB100" s="399">
        <v>0</v>
      </c>
      <c r="DC100" s="399">
        <v>2.9962222435007106</v>
      </c>
      <c r="DD100" s="399">
        <v>0</v>
      </c>
      <c r="DE100" s="399">
        <v>0</v>
      </c>
      <c r="DF100" s="399">
        <v>0</v>
      </c>
      <c r="DG100" s="399">
        <v>0.35656695947871864</v>
      </c>
      <c r="DH100" s="399">
        <v>0</v>
      </c>
      <c r="DI100" s="399">
        <v>0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0</v>
      </c>
      <c r="DP100" s="399">
        <v>-5.2995893458050392E-2</v>
      </c>
      <c r="DQ100" s="399">
        <v>0</v>
      </c>
      <c r="DR100" s="399">
        <v>0</v>
      </c>
      <c r="DS100" s="399"/>
      <c r="DT100" s="399"/>
      <c r="DU100" s="399"/>
      <c r="DV100" s="399">
        <v>67.240370745059764</v>
      </c>
      <c r="DW100" s="399">
        <v>0</v>
      </c>
      <c r="DX100" s="399">
        <v>0</v>
      </c>
      <c r="DY100" s="399">
        <v>-43.453800000000008</v>
      </c>
      <c r="DZ100" s="399">
        <v>2.9969999999999928</v>
      </c>
      <c r="EA100" s="399">
        <v>0</v>
      </c>
      <c r="EB100" s="399">
        <v>0</v>
      </c>
      <c r="EC100" s="399">
        <v>-41.021096432152611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227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956</v>
      </c>
      <c r="C101" s="399" t="s">
        <v>2328</v>
      </c>
      <c r="D101" s="399" t="s">
        <v>1823</v>
      </c>
      <c r="E101" s="399" t="s">
        <v>889</v>
      </c>
      <c r="F101" s="399" t="s">
        <v>2331</v>
      </c>
      <c r="G101" s="399" t="s">
        <v>1239</v>
      </c>
      <c r="H101" s="399" t="s">
        <v>1239</v>
      </c>
      <c r="I101" s="399" t="s">
        <v>1239</v>
      </c>
      <c r="J101" s="399" t="s">
        <v>2329</v>
      </c>
      <c r="K101" s="789">
        <v>44621</v>
      </c>
      <c r="L101" s="399">
        <v>0</v>
      </c>
      <c r="M101" s="399">
        <v>0</v>
      </c>
      <c r="N101" s="399">
        <v>0.63</v>
      </c>
      <c r="O101" s="399">
        <v>0.63</v>
      </c>
      <c r="P101" s="399">
        <v>0.63</v>
      </c>
      <c r="Q101" s="399">
        <v>0.63</v>
      </c>
      <c r="R101" s="399"/>
      <c r="S101" s="399">
        <v>355.1</v>
      </c>
      <c r="T101" s="399">
        <v>205.96</v>
      </c>
      <c r="U101" s="399"/>
      <c r="V101" s="399">
        <v>353.46780000000001</v>
      </c>
      <c r="W101" s="399">
        <v>353.46780000000001</v>
      </c>
      <c r="X101" s="399">
        <v>259.0686</v>
      </c>
      <c r="Y101" s="399">
        <v>0</v>
      </c>
      <c r="Z101" s="399">
        <v>0</v>
      </c>
      <c r="AA101" s="399">
        <v>0</v>
      </c>
      <c r="AB101" s="399">
        <v>0</v>
      </c>
      <c r="AC101" s="399">
        <v>0</v>
      </c>
      <c r="AD101" s="399">
        <v>51.069233736897075</v>
      </c>
      <c r="AE101" s="399">
        <v>156.89419840513946</v>
      </c>
      <c r="AF101" s="399">
        <v>126.58954560005691</v>
      </c>
      <c r="AG101" s="399">
        <v>3.1678611333525888</v>
      </c>
      <c r="AH101" s="399">
        <v>0</v>
      </c>
      <c r="AI101" s="399">
        <v>0</v>
      </c>
      <c r="AJ101" s="399">
        <v>0</v>
      </c>
      <c r="AK101" s="399">
        <v>0</v>
      </c>
      <c r="AL101" s="399">
        <v>0</v>
      </c>
      <c r="AM101" s="399"/>
      <c r="AN101" s="399">
        <v>0.6816304912543435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15.06485357496819</v>
      </c>
      <c r="BH101" s="399">
        <v>0</v>
      </c>
      <c r="BI101" s="399">
        <v>0.93</v>
      </c>
      <c r="BJ101" s="399">
        <v>4.46</v>
      </c>
      <c r="BK101" s="399">
        <v>22.04</v>
      </c>
      <c r="BL101" s="399">
        <v>1</v>
      </c>
      <c r="BM101" s="399"/>
      <c r="BN101" s="399"/>
      <c r="BO101" s="399"/>
      <c r="BP101" s="399"/>
      <c r="BQ101" s="399"/>
      <c r="BR101" s="399"/>
      <c r="BS101" s="399"/>
      <c r="BT101" s="399">
        <v>103.6224</v>
      </c>
      <c r="BU101" s="399"/>
      <c r="BV101" s="399">
        <v>141.65439917502511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155.4462</v>
      </c>
      <c r="CJ101" s="399">
        <v>-56.666999999999973</v>
      </c>
      <c r="CK101" s="399"/>
      <c r="CL101" s="399"/>
      <c r="CM101" s="399"/>
      <c r="CN101" s="399"/>
      <c r="CO101" s="399">
        <v>-101.39220000000002</v>
      </c>
      <c r="CP101" s="399">
        <v>6.9929999999999968</v>
      </c>
      <c r="CQ101" s="399">
        <v>31</v>
      </c>
      <c r="CR101" s="399">
        <v>1.3193453038087455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-6.3801724184077884</v>
      </c>
      <c r="DA101" s="399">
        <v>0</v>
      </c>
      <c r="DB101" s="399">
        <v>0</v>
      </c>
      <c r="DC101" s="399">
        <v>6.9911852348349726</v>
      </c>
      <c r="DD101" s="399">
        <v>0</v>
      </c>
      <c r="DE101" s="399">
        <v>0</v>
      </c>
      <c r="DF101" s="399">
        <v>0</v>
      </c>
      <c r="DG101" s="399">
        <v>0.83198957211701163</v>
      </c>
      <c r="DH101" s="399">
        <v>0</v>
      </c>
      <c r="DI101" s="399">
        <v>0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0</v>
      </c>
      <c r="DP101" s="399">
        <v>-0.12365708473545101</v>
      </c>
      <c r="DQ101" s="399">
        <v>0</v>
      </c>
      <c r="DR101" s="399">
        <v>0</v>
      </c>
      <c r="DS101" s="399"/>
      <c r="DT101" s="399"/>
      <c r="DU101" s="399"/>
      <c r="DV101" s="399">
        <v>156.89419840513946</v>
      </c>
      <c r="DW101" s="399">
        <v>0</v>
      </c>
      <c r="DX101" s="399">
        <v>0</v>
      </c>
      <c r="DY101" s="399">
        <v>-101.39220000000002</v>
      </c>
      <c r="DZ101" s="399">
        <v>6.992999999999995</v>
      </c>
      <c r="EA101" s="399">
        <v>0</v>
      </c>
      <c r="EB101" s="399">
        <v>0</v>
      </c>
      <c r="EC101" s="399">
        <v>-95.715891675022775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227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956</v>
      </c>
      <c r="C102" s="399" t="s">
        <v>2328</v>
      </c>
      <c r="D102" s="399" t="s">
        <v>1823</v>
      </c>
      <c r="E102" s="399" t="s">
        <v>889</v>
      </c>
      <c r="F102" s="399" t="s">
        <v>2332</v>
      </c>
      <c r="G102" s="399" t="s">
        <v>1239</v>
      </c>
      <c r="H102" s="399" t="s">
        <v>1239</v>
      </c>
      <c r="I102" s="399" t="s">
        <v>1239</v>
      </c>
      <c r="J102" s="399" t="s">
        <v>2329</v>
      </c>
      <c r="K102" s="789">
        <v>44621</v>
      </c>
      <c r="L102" s="399">
        <v>0</v>
      </c>
      <c r="M102" s="399">
        <v>0</v>
      </c>
      <c r="N102" s="399">
        <v>0.498</v>
      </c>
      <c r="O102" s="399">
        <v>0.498</v>
      </c>
      <c r="P102" s="399">
        <v>0.498</v>
      </c>
      <c r="Q102" s="399">
        <v>0.498</v>
      </c>
      <c r="R102" s="399"/>
      <c r="S102" s="399">
        <v>355.1</v>
      </c>
      <c r="T102" s="399">
        <v>205.96</v>
      </c>
      <c r="U102" s="399"/>
      <c r="V102" s="399">
        <v>279.40787999999998</v>
      </c>
      <c r="W102" s="399">
        <v>279.40787999999998</v>
      </c>
      <c r="X102" s="399">
        <v>204.78755999999998</v>
      </c>
      <c r="Y102" s="399">
        <v>0</v>
      </c>
      <c r="Z102" s="399">
        <v>0</v>
      </c>
      <c r="AA102" s="399">
        <v>0</v>
      </c>
      <c r="AB102" s="399">
        <v>0</v>
      </c>
      <c r="AC102" s="399">
        <v>0</v>
      </c>
      <c r="AD102" s="399">
        <v>40.369013334880549</v>
      </c>
      <c r="AE102" s="399">
        <v>124.02112826311023</v>
      </c>
      <c r="AF102" s="399">
        <v>100.06602176004499</v>
      </c>
      <c r="AG102" s="399">
        <v>2.5041188006501418</v>
      </c>
      <c r="AH102" s="399">
        <v>0</v>
      </c>
      <c r="AI102" s="399">
        <v>0</v>
      </c>
      <c r="AJ102" s="399">
        <v>0</v>
      </c>
      <c r="AK102" s="399">
        <v>0</v>
      </c>
      <c r="AL102" s="399">
        <v>0</v>
      </c>
      <c r="AM102" s="399"/>
      <c r="AN102" s="399">
        <v>0.53881267403914768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11.908408064022474</v>
      </c>
      <c r="BH102" s="399">
        <v>0</v>
      </c>
      <c r="BI102" s="399">
        <v>1.1399999999999999</v>
      </c>
      <c r="BJ102" s="399">
        <v>5.23</v>
      </c>
      <c r="BK102" s="399">
        <v>40.28</v>
      </c>
      <c r="BL102" s="399">
        <v>6</v>
      </c>
      <c r="BM102" s="399"/>
      <c r="BN102" s="399"/>
      <c r="BO102" s="399"/>
      <c r="BP102" s="399"/>
      <c r="BQ102" s="399"/>
      <c r="BR102" s="399"/>
      <c r="BS102" s="399"/>
      <c r="BT102" s="399">
        <v>20.472779999999993</v>
      </c>
      <c r="BU102" s="399"/>
      <c r="BV102" s="399">
        <v>111.97442982406747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185.05500000000001</v>
      </c>
      <c r="CJ102" s="399">
        <v>-66.445079999999962</v>
      </c>
      <c r="CK102" s="399"/>
      <c r="CL102" s="399"/>
      <c r="CM102" s="399"/>
      <c r="CN102" s="399"/>
      <c r="CO102" s="399">
        <v>-80.148120000000006</v>
      </c>
      <c r="CP102" s="399">
        <v>5.5277999999999974</v>
      </c>
      <c r="CQ102" s="399">
        <v>31</v>
      </c>
      <c r="CR102" s="399">
        <v>1.0429110496773717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-5.0433743878842563</v>
      </c>
      <c r="DA102" s="399">
        <v>0</v>
      </c>
      <c r="DB102" s="399">
        <v>0</v>
      </c>
      <c r="DC102" s="399">
        <v>5.5263654713457413</v>
      </c>
      <c r="DD102" s="399">
        <v>0</v>
      </c>
      <c r="DE102" s="399">
        <v>0</v>
      </c>
      <c r="DF102" s="399">
        <v>0</v>
      </c>
      <c r="DG102" s="399">
        <v>0.65766794748297031</v>
      </c>
      <c r="DH102" s="399">
        <v>0</v>
      </c>
      <c r="DI102" s="399">
        <v>0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0</v>
      </c>
      <c r="DP102" s="399">
        <v>-9.7747981267070738E-2</v>
      </c>
      <c r="DQ102" s="399">
        <v>0</v>
      </c>
      <c r="DR102" s="399">
        <v>0</v>
      </c>
      <c r="DS102" s="399"/>
      <c r="DT102" s="399"/>
      <c r="DU102" s="399"/>
      <c r="DV102" s="399">
        <v>124.02112826311023</v>
      </c>
      <c r="DW102" s="399">
        <v>0</v>
      </c>
      <c r="DX102" s="399">
        <v>0</v>
      </c>
      <c r="DY102" s="399">
        <v>-80.148120000000006</v>
      </c>
      <c r="DZ102" s="399">
        <v>5.5277999999999849</v>
      </c>
      <c r="EA102" s="399">
        <v>0</v>
      </c>
      <c r="EB102" s="399">
        <v>0</v>
      </c>
      <c r="EC102" s="399">
        <v>-75.661133419303695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227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956</v>
      </c>
      <c r="C103" s="399" t="s">
        <v>2328</v>
      </c>
      <c r="D103" s="399" t="s">
        <v>1823</v>
      </c>
      <c r="E103" s="399" t="s">
        <v>889</v>
      </c>
      <c r="F103" s="399" t="s">
        <v>2333</v>
      </c>
      <c r="G103" s="399" t="s">
        <v>1239</v>
      </c>
      <c r="H103" s="399" t="s">
        <v>1239</v>
      </c>
      <c r="I103" s="399" t="s">
        <v>1239</v>
      </c>
      <c r="J103" s="399" t="s">
        <v>2329</v>
      </c>
      <c r="K103" s="789">
        <v>44621</v>
      </c>
      <c r="L103" s="399">
        <v>0</v>
      </c>
      <c r="M103" s="399">
        <v>0</v>
      </c>
      <c r="N103" s="399">
        <v>0.152</v>
      </c>
      <c r="O103" s="399">
        <v>0.152</v>
      </c>
      <c r="P103" s="399">
        <v>0.152</v>
      </c>
      <c r="Q103" s="399">
        <v>0.152</v>
      </c>
      <c r="R103" s="399"/>
      <c r="S103" s="399">
        <v>355.1</v>
      </c>
      <c r="T103" s="399">
        <v>205.96</v>
      </c>
      <c r="U103" s="399"/>
      <c r="V103" s="399">
        <v>85.281120000000001</v>
      </c>
      <c r="W103" s="399">
        <v>85.281120000000001</v>
      </c>
      <c r="X103" s="399">
        <v>62.505439999999993</v>
      </c>
      <c r="Y103" s="399">
        <v>0</v>
      </c>
      <c r="Z103" s="399">
        <v>0</v>
      </c>
      <c r="AA103" s="399">
        <v>0</v>
      </c>
      <c r="AB103" s="399">
        <v>0</v>
      </c>
      <c r="AC103" s="399">
        <v>0</v>
      </c>
      <c r="AD103" s="399">
        <v>12.32146591747358</v>
      </c>
      <c r="AE103" s="399">
        <v>37.853838345366974</v>
      </c>
      <c r="AF103" s="399">
        <v>30.542239573347064</v>
      </c>
      <c r="AG103" s="399">
        <v>0.76430935280887857</v>
      </c>
      <c r="AH103" s="399">
        <v>0</v>
      </c>
      <c r="AI103" s="399">
        <v>0</v>
      </c>
      <c r="AJ103" s="399">
        <v>0</v>
      </c>
      <c r="AK103" s="399">
        <v>0</v>
      </c>
      <c r="AL103" s="399">
        <v>0</v>
      </c>
      <c r="AM103" s="399"/>
      <c r="AN103" s="399">
        <v>0.16445688042961937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3.6346948307859761</v>
      </c>
      <c r="BH103" s="399">
        <v>0</v>
      </c>
      <c r="BI103" s="399">
        <v>0.39</v>
      </c>
      <c r="BJ103" s="399">
        <v>1.86</v>
      </c>
      <c r="BK103" s="399">
        <v>23.63</v>
      </c>
      <c r="BL103" s="399">
        <v>2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34.176934404133043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61.682999999999993</v>
      </c>
      <c r="CJ103" s="399">
        <v>-23.62812000000001</v>
      </c>
      <c r="CK103" s="399"/>
      <c r="CL103" s="399"/>
      <c r="CM103" s="399"/>
      <c r="CN103" s="399"/>
      <c r="CO103" s="399">
        <v>-24.462880000000002</v>
      </c>
      <c r="CP103" s="399">
        <v>1.6871999999999991</v>
      </c>
      <c r="CQ103" s="399">
        <v>31</v>
      </c>
      <c r="CR103" s="399">
        <v>0.31831823203003751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-1.5393431866634675</v>
      </c>
      <c r="DA103" s="399">
        <v>0</v>
      </c>
      <c r="DB103" s="399">
        <v>0</v>
      </c>
      <c r="DC103" s="399">
        <v>1.6867621518966907</v>
      </c>
      <c r="DD103" s="399">
        <v>0</v>
      </c>
      <c r="DE103" s="399">
        <v>0</v>
      </c>
      <c r="DF103" s="399">
        <v>0</v>
      </c>
      <c r="DG103" s="399">
        <v>0.20073399200283415</v>
      </c>
      <c r="DH103" s="399">
        <v>0</v>
      </c>
      <c r="DI103" s="399">
        <v>0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0</v>
      </c>
      <c r="DP103" s="399">
        <v>-2.9834725206013546E-2</v>
      </c>
      <c r="DQ103" s="399">
        <v>0</v>
      </c>
      <c r="DR103" s="399">
        <v>0</v>
      </c>
      <c r="DS103" s="399"/>
      <c r="DT103" s="399"/>
      <c r="DU103" s="399"/>
      <c r="DV103" s="399">
        <v>37.853838345366974</v>
      </c>
      <c r="DW103" s="399">
        <v>0</v>
      </c>
      <c r="DX103" s="399">
        <v>0</v>
      </c>
      <c r="DY103" s="399">
        <v>-24.462880000000002</v>
      </c>
      <c r="DZ103" s="399">
        <v>1.6871999999999971</v>
      </c>
      <c r="EA103" s="399">
        <v>0</v>
      </c>
      <c r="EB103" s="399">
        <v>0</v>
      </c>
      <c r="EC103" s="399">
        <v>-23.093357991434061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227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956</v>
      </c>
      <c r="C104" s="399" t="s">
        <v>2328</v>
      </c>
      <c r="D104" s="399" t="s">
        <v>1826</v>
      </c>
      <c r="E104" s="399" t="s">
        <v>890</v>
      </c>
      <c r="F104" s="399" t="s">
        <v>1239</v>
      </c>
      <c r="G104" s="399" t="s">
        <v>1239</v>
      </c>
      <c r="H104" s="399" t="s">
        <v>1239</v>
      </c>
      <c r="I104" s="399" t="s">
        <v>1239</v>
      </c>
      <c r="J104" s="399" t="s">
        <v>2329</v>
      </c>
      <c r="K104" s="789">
        <v>44621</v>
      </c>
      <c r="L104" s="399">
        <v>0</v>
      </c>
      <c r="M104" s="399">
        <v>0</v>
      </c>
      <c r="N104" s="399">
        <v>67.569000000000003</v>
      </c>
      <c r="O104" s="399">
        <v>67.569000000000003</v>
      </c>
      <c r="P104" s="399">
        <v>67.569000000000003</v>
      </c>
      <c r="Q104" s="399">
        <v>67.569000000000003</v>
      </c>
      <c r="R104" s="399"/>
      <c r="S104" s="399">
        <v>425.49</v>
      </c>
      <c r="T104" s="399">
        <v>205.96</v>
      </c>
      <c r="U104" s="399"/>
      <c r="V104" s="399">
        <v>42666.445050000002</v>
      </c>
      <c r="W104" s="399">
        <v>42666.445050000002</v>
      </c>
      <c r="X104" s="399">
        <v>31931.758020000001</v>
      </c>
      <c r="Y104" s="399">
        <v>0</v>
      </c>
      <c r="Z104" s="399">
        <v>4119.9592159939803</v>
      </c>
      <c r="AA104" s="399">
        <v>0</v>
      </c>
      <c r="AB104" s="399">
        <v>0</v>
      </c>
      <c r="AC104" s="399">
        <v>0</v>
      </c>
      <c r="AD104" s="399">
        <v>5477.2969116958711</v>
      </c>
      <c r="AE104" s="399">
        <v>16827.276336566458</v>
      </c>
      <c r="AF104" s="399">
        <v>13577.030169286105</v>
      </c>
      <c r="AG104" s="399">
        <v>339.76064907857318</v>
      </c>
      <c r="AH104" s="399">
        <v>0</v>
      </c>
      <c r="AI104" s="399">
        <v>0</v>
      </c>
      <c r="AJ104" s="399">
        <v>0</v>
      </c>
      <c r="AK104" s="399">
        <v>0</v>
      </c>
      <c r="AL104" s="399">
        <v>636.71422646195583</v>
      </c>
      <c r="AM104" s="399"/>
      <c r="AN104" s="399">
        <v>73.106493116769414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1615.7414146143265</v>
      </c>
      <c r="BH104" s="399">
        <v>0</v>
      </c>
      <c r="BI104" s="399">
        <v>278.43</v>
      </c>
      <c r="BJ104" s="399">
        <v>1293.1500000000001</v>
      </c>
      <c r="BK104" s="399">
        <v>14365.78</v>
      </c>
      <c r="BL104" s="399">
        <v>41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15192.77158390043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31932.230599999995</v>
      </c>
      <c r="CJ104" s="399">
        <v>-10734.244450000006</v>
      </c>
      <c r="CK104" s="399"/>
      <c r="CL104" s="399"/>
      <c r="CM104" s="399"/>
      <c r="CN104" s="399"/>
      <c r="CO104" s="399">
        <v>-11484.702929999999</v>
      </c>
      <c r="CP104" s="399">
        <v>750.01589999999965</v>
      </c>
      <c r="CQ104" s="399">
        <v>31</v>
      </c>
      <c r="CR104" s="399">
        <v>-469.48536309192787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-684.28868276094636</v>
      </c>
      <c r="DA104" s="399">
        <v>0</v>
      </c>
      <c r="DB104" s="399">
        <v>0</v>
      </c>
      <c r="DC104" s="399">
        <v>749.82126211518153</v>
      </c>
      <c r="DD104" s="399">
        <v>0</v>
      </c>
      <c r="DE104" s="399">
        <v>0</v>
      </c>
      <c r="DF104" s="399">
        <v>0</v>
      </c>
      <c r="DG104" s="399">
        <v>89.232862537102164</v>
      </c>
      <c r="DH104" s="399">
        <v>0</v>
      </c>
      <c r="DI104" s="399">
        <v>-539.90006982930527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-71.088218394449768</v>
      </c>
      <c r="DP104" s="399">
        <v>-13.262516759507427</v>
      </c>
      <c r="DQ104" s="399">
        <v>0</v>
      </c>
      <c r="DR104" s="399">
        <v>0</v>
      </c>
      <c r="DS104" s="399"/>
      <c r="DT104" s="399"/>
      <c r="DU104" s="399"/>
      <c r="DV104" s="399">
        <v>16827.276336566458</v>
      </c>
      <c r="DW104" s="399">
        <v>0</v>
      </c>
      <c r="DX104" s="399">
        <v>0</v>
      </c>
      <c r="DY104" s="399">
        <v>-11484.702929999999</v>
      </c>
      <c r="DZ104" s="399">
        <v>750.01589999999851</v>
      </c>
      <c r="EA104" s="399">
        <v>0</v>
      </c>
      <c r="EB104" s="399">
        <v>0</v>
      </c>
      <c r="EC104" s="399">
        <v>-10265.757277126371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227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956</v>
      </c>
      <c r="C105" s="399" t="s">
        <v>2334</v>
      </c>
      <c r="D105" s="399" t="s">
        <v>533</v>
      </c>
      <c r="E105" s="399" t="s">
        <v>890</v>
      </c>
      <c r="F105" s="399" t="s">
        <v>1239</v>
      </c>
      <c r="G105" s="399" t="s">
        <v>1239</v>
      </c>
      <c r="H105" s="399" t="s">
        <v>1239</v>
      </c>
      <c r="I105" s="399" t="s">
        <v>893</v>
      </c>
      <c r="J105" s="399" t="s">
        <v>2329</v>
      </c>
      <c r="K105" s="789">
        <v>44621</v>
      </c>
      <c r="L105" s="399">
        <v>0</v>
      </c>
      <c r="M105" s="399">
        <v>0</v>
      </c>
      <c r="N105" s="399">
        <v>21.579000000000001</v>
      </c>
      <c r="O105" s="399">
        <v>21.579000000000001</v>
      </c>
      <c r="P105" s="399">
        <v>21.579000000000001</v>
      </c>
      <c r="Q105" s="399">
        <v>21.579000000000001</v>
      </c>
      <c r="R105" s="399"/>
      <c r="S105" s="399">
        <v>2109.83</v>
      </c>
      <c r="T105" s="399">
        <v>205.96</v>
      </c>
      <c r="U105" s="399"/>
      <c r="V105" s="399">
        <v>49972.432409999994</v>
      </c>
      <c r="W105" s="399">
        <v>49972.432409999994</v>
      </c>
      <c r="X105" s="399">
        <v>29488.998240000001</v>
      </c>
      <c r="Y105" s="399">
        <v>0</v>
      </c>
      <c r="Z105" s="399">
        <v>1144.7113607139763</v>
      </c>
      <c r="AA105" s="399">
        <v>0</v>
      </c>
      <c r="AB105" s="399">
        <v>0</v>
      </c>
      <c r="AC105" s="399">
        <v>0</v>
      </c>
      <c r="AD105" s="399">
        <v>12912.356865092019</v>
      </c>
      <c r="AE105" s="399">
        <v>31054.983982343318</v>
      </c>
      <c r="AF105" s="399">
        <v>4335.9933404819494</v>
      </c>
      <c r="AG105" s="399">
        <v>108.50678634383415</v>
      </c>
      <c r="AH105" s="399">
        <v>0</v>
      </c>
      <c r="AI105" s="399">
        <v>0</v>
      </c>
      <c r="AJ105" s="399">
        <v>0</v>
      </c>
      <c r="AK105" s="399">
        <v>0</v>
      </c>
      <c r="AL105" s="399">
        <v>203.34260227060551</v>
      </c>
      <c r="AM105" s="399"/>
      <c r="AN105" s="399">
        <v>13.324442936721118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199.22871838628899</v>
      </c>
      <c r="BH105" s="399">
        <v>0</v>
      </c>
      <c r="BI105" s="399">
        <v>0</v>
      </c>
      <c r="BJ105" s="399">
        <v>0</v>
      </c>
      <c r="BK105" s="399">
        <v>0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4535.2220588682385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29490.364799999999</v>
      </c>
      <c r="CJ105" s="399">
        <v>-20482.097610000001</v>
      </c>
      <c r="CK105" s="399"/>
      <c r="CL105" s="399"/>
      <c r="CM105" s="399"/>
      <c r="CN105" s="399"/>
      <c r="CO105" s="399">
        <v>-20722.961069999998</v>
      </c>
      <c r="CP105" s="399">
        <v>239.5268999999999</v>
      </c>
      <c r="CQ105" s="399">
        <v>31</v>
      </c>
      <c r="CR105" s="399">
        <v>-1537.8255329475942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-1613.1642693471113</v>
      </c>
      <c r="DA105" s="399">
        <v>0</v>
      </c>
      <c r="DB105" s="399">
        <v>0</v>
      </c>
      <c r="DC105" s="399">
        <v>239.46473997222893</v>
      </c>
      <c r="DD105" s="399">
        <v>0</v>
      </c>
      <c r="DE105" s="399">
        <v>0</v>
      </c>
      <c r="DF105" s="399">
        <v>0</v>
      </c>
      <c r="DG105" s="399">
        <v>11.002842831412664</v>
      </c>
      <c r="DH105" s="399">
        <v>0</v>
      </c>
      <c r="DI105" s="399">
        <v>-150.00870425722587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-22.702906136450594</v>
      </c>
      <c r="DP105" s="399">
        <v>-2.4172360104471906</v>
      </c>
      <c r="DQ105" s="399">
        <v>0</v>
      </c>
      <c r="DR105" s="399">
        <v>0</v>
      </c>
      <c r="DS105" s="399"/>
      <c r="DT105" s="399"/>
      <c r="DU105" s="399"/>
      <c r="DV105" s="399">
        <v>31054.983982343318</v>
      </c>
      <c r="DW105" s="399">
        <v>0</v>
      </c>
      <c r="DX105" s="399">
        <v>0</v>
      </c>
      <c r="DY105" s="399">
        <v>-20722.961069999998</v>
      </c>
      <c r="DZ105" s="399">
        <v>239.52689999999984</v>
      </c>
      <c r="EA105" s="399">
        <v>0</v>
      </c>
      <c r="EB105" s="399">
        <v>0</v>
      </c>
      <c r="EC105" s="399">
        <v>-18945.604828216292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227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956</v>
      </c>
      <c r="C106" s="399" t="s">
        <v>2334</v>
      </c>
      <c r="D106" s="399" t="s">
        <v>533</v>
      </c>
      <c r="E106" s="399" t="s">
        <v>890</v>
      </c>
      <c r="F106" s="399" t="s">
        <v>1239</v>
      </c>
      <c r="G106" s="399" t="s">
        <v>1239</v>
      </c>
      <c r="H106" s="399" t="s">
        <v>1239</v>
      </c>
      <c r="I106" s="399" t="s">
        <v>2326</v>
      </c>
      <c r="J106" s="399" t="s">
        <v>2329</v>
      </c>
      <c r="K106" s="789">
        <v>44621</v>
      </c>
      <c r="L106" s="399">
        <v>0</v>
      </c>
      <c r="M106" s="399">
        <v>0</v>
      </c>
      <c r="N106" s="399">
        <v>451.62200000000001</v>
      </c>
      <c r="O106" s="399">
        <v>451.62200000000001</v>
      </c>
      <c r="P106" s="399">
        <v>451.62200000000001</v>
      </c>
      <c r="Q106" s="399">
        <v>451.62200000000001</v>
      </c>
      <c r="R106" s="399"/>
      <c r="S106" s="399">
        <v>72.319999999999993</v>
      </c>
      <c r="T106" s="399">
        <v>205.96</v>
      </c>
      <c r="U106" s="399"/>
      <c r="V106" s="399">
        <v>125677.37016000001</v>
      </c>
      <c r="W106" s="399">
        <v>125677.37016000001</v>
      </c>
      <c r="X106" s="399">
        <v>127253.53094</v>
      </c>
      <c r="Y106" s="399">
        <v>0</v>
      </c>
      <c r="Z106" s="399">
        <v>23957.404613205774</v>
      </c>
      <c r="AA106" s="399">
        <v>0</v>
      </c>
      <c r="AB106" s="399">
        <v>0</v>
      </c>
      <c r="AC106" s="399">
        <v>0</v>
      </c>
      <c r="AD106" s="399">
        <v>0</v>
      </c>
      <c r="AE106" s="399">
        <v>0</v>
      </c>
      <c r="AF106" s="399">
        <v>90747.021846014133</v>
      </c>
      <c r="AG106" s="399">
        <v>2270.9139377253382</v>
      </c>
      <c r="AH106" s="399">
        <v>0</v>
      </c>
      <c r="AI106" s="399">
        <v>0</v>
      </c>
      <c r="AJ106" s="399">
        <v>0</v>
      </c>
      <c r="AK106" s="399">
        <v>0</v>
      </c>
      <c r="AL106" s="399">
        <v>4255.7112341932161</v>
      </c>
      <c r="AM106" s="399"/>
      <c r="AN106" s="399">
        <v>278.86424616376405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4169.6126908129481</v>
      </c>
      <c r="BH106" s="399">
        <v>0</v>
      </c>
      <c r="BI106" s="399">
        <v>0</v>
      </c>
      <c r="BJ106" s="399">
        <v>0</v>
      </c>
      <c r="BK106" s="399">
        <v>0</v>
      </c>
      <c r="BL106" s="399">
        <v>0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94916.634536827085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127252.96739999999</v>
      </c>
      <c r="CJ106" s="399">
        <v>1575.5672399999894</v>
      </c>
      <c r="CK106" s="399"/>
      <c r="CL106" s="399"/>
      <c r="CM106" s="399"/>
      <c r="CN106" s="399"/>
      <c r="CO106" s="399">
        <v>-3436.8434199999997</v>
      </c>
      <c r="CP106" s="399">
        <v>5013.0041999999976</v>
      </c>
      <c r="CQ106" s="399">
        <v>31</v>
      </c>
      <c r="CR106" s="399">
        <v>1576.7473381631717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0</v>
      </c>
      <c r="DA106" s="399">
        <v>0</v>
      </c>
      <c r="DB106" s="399">
        <v>0</v>
      </c>
      <c r="DC106" s="399">
        <v>5011.7032668676839</v>
      </c>
      <c r="DD106" s="399">
        <v>0</v>
      </c>
      <c r="DE106" s="399">
        <v>0</v>
      </c>
      <c r="DF106" s="399">
        <v>0</v>
      </c>
      <c r="DG106" s="399">
        <v>230.27600376329974</v>
      </c>
      <c r="DH106" s="399">
        <v>0</v>
      </c>
      <c r="DI106" s="399">
        <v>-3139.4981710948996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-475.14397679021749</v>
      </c>
      <c r="DP106" s="399">
        <v>-50.58978458270451</v>
      </c>
      <c r="DQ106" s="399">
        <v>0</v>
      </c>
      <c r="DR106" s="399">
        <v>0</v>
      </c>
      <c r="DS106" s="399"/>
      <c r="DT106" s="399"/>
      <c r="DU106" s="399"/>
      <c r="DV106" s="399">
        <v>0</v>
      </c>
      <c r="DW106" s="399">
        <v>0</v>
      </c>
      <c r="DX106" s="399">
        <v>0</v>
      </c>
      <c r="DY106" s="399">
        <v>-3436.8434200000011</v>
      </c>
      <c r="DZ106" s="399">
        <v>5013.0041999999958</v>
      </c>
      <c r="EA106" s="399">
        <v>0</v>
      </c>
      <c r="EB106" s="399">
        <v>0</v>
      </c>
      <c r="EC106" s="399">
        <v>0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227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956</v>
      </c>
      <c r="C107" s="399" t="s">
        <v>2334</v>
      </c>
      <c r="D107" s="399" t="s">
        <v>533</v>
      </c>
      <c r="E107" s="399" t="s">
        <v>890</v>
      </c>
      <c r="F107" s="399" t="s">
        <v>1239</v>
      </c>
      <c r="G107" s="399" t="s">
        <v>1239</v>
      </c>
      <c r="H107" s="399" t="s">
        <v>1239</v>
      </c>
      <c r="I107" s="399" t="s">
        <v>1239</v>
      </c>
      <c r="J107" s="399" t="s">
        <v>2329</v>
      </c>
      <c r="K107" s="789">
        <v>44621</v>
      </c>
      <c r="L107" s="399">
        <v>2303</v>
      </c>
      <c r="M107" s="399">
        <v>2303</v>
      </c>
      <c r="N107" s="399">
        <v>0</v>
      </c>
      <c r="O107" s="399">
        <v>0</v>
      </c>
      <c r="P107" s="399">
        <v>0</v>
      </c>
      <c r="Q107" s="399">
        <v>0</v>
      </c>
      <c r="R107" s="399">
        <v>26.79</v>
      </c>
      <c r="S107" s="399"/>
      <c r="T107" s="399"/>
      <c r="U107" s="399">
        <v>61697.369999999995</v>
      </c>
      <c r="V107" s="399"/>
      <c r="W107" s="399">
        <v>61697.369999999995</v>
      </c>
      <c r="X107" s="399">
        <v>35304.99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23197.158721843891</v>
      </c>
      <c r="AE107" s="399">
        <v>38508.089490036815</v>
      </c>
      <c r="AF107" s="399"/>
      <c r="AG107" s="399"/>
      <c r="AH107" s="399"/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0</v>
      </c>
      <c r="AO107" s="399">
        <v>0</v>
      </c>
      <c r="AP107" s="399">
        <v>0</v>
      </c>
      <c r="AQ107" s="399">
        <v>0</v>
      </c>
      <c r="AR107" s="399">
        <v>0</v>
      </c>
      <c r="AS107" s="399"/>
      <c r="AT107" s="399"/>
      <c r="AU107" s="399">
        <v>0</v>
      </c>
      <c r="AV107" s="399">
        <v>0</v>
      </c>
      <c r="AW107" s="399">
        <v>0</v>
      </c>
      <c r="AX107" s="399"/>
      <c r="AY107" s="399"/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/>
      <c r="BG107" s="399">
        <v>0</v>
      </c>
      <c r="BH107" s="399">
        <v>0</v>
      </c>
      <c r="BI107" s="399">
        <v>1501.54</v>
      </c>
      <c r="BJ107" s="399">
        <v>6991.69</v>
      </c>
      <c r="BK107" s="399">
        <v>89322.18</v>
      </c>
      <c r="BL107" s="399">
        <v>12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0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35304.99</v>
      </c>
      <c r="CJ107" s="399">
        <v>-26392.410000000003</v>
      </c>
      <c r="CK107" s="399"/>
      <c r="CL107" s="399"/>
      <c r="CM107" s="399"/>
      <c r="CN107" s="399"/>
      <c r="CO107" s="399">
        <v>-26392.379999999997</v>
      </c>
      <c r="CP107" s="399">
        <v>0</v>
      </c>
      <c r="CQ107" s="399">
        <v>31</v>
      </c>
      <c r="CR107" s="399">
        <v>-2898.0633041221772</v>
      </c>
      <c r="CS107" s="399">
        <v>0</v>
      </c>
      <c r="CT107" s="399">
        <v>0</v>
      </c>
      <c r="CU107" s="399">
        <v>0</v>
      </c>
      <c r="CV107" s="399">
        <v>0</v>
      </c>
      <c r="CW107" s="399"/>
      <c r="CX107" s="399"/>
      <c r="CY107" s="399"/>
      <c r="CZ107" s="399">
        <v>-2898.0633041221772</v>
      </c>
      <c r="DA107" s="399">
        <v>0</v>
      </c>
      <c r="DB107" s="399">
        <v>0</v>
      </c>
      <c r="DC107" s="399"/>
      <c r="DD107" s="399"/>
      <c r="DE107" s="399">
        <v>0</v>
      </c>
      <c r="DF107" s="399">
        <v>0</v>
      </c>
      <c r="DG107" s="399">
        <v>0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/>
      <c r="DN107" s="399">
        <v>0</v>
      </c>
      <c r="DO107" s="399">
        <v>0</v>
      </c>
      <c r="DP107" s="399">
        <v>0</v>
      </c>
      <c r="DQ107" s="399">
        <v>0</v>
      </c>
      <c r="DR107" s="399">
        <v>0</v>
      </c>
      <c r="DS107" s="399"/>
      <c r="DT107" s="399"/>
      <c r="DU107" s="399">
        <v>38508.089490036815</v>
      </c>
      <c r="DV107" s="399"/>
      <c r="DW107" s="399">
        <v>0</v>
      </c>
      <c r="DX107" s="399">
        <v>0</v>
      </c>
      <c r="DY107" s="399">
        <v>-26392.379999999997</v>
      </c>
      <c r="DZ107" s="399"/>
      <c r="EA107" s="399">
        <v>0</v>
      </c>
      <c r="EB107" s="399"/>
      <c r="EC107" s="399">
        <v>-23492.494685639769</v>
      </c>
      <c r="ED107" s="399"/>
      <c r="EE107" s="399">
        <v>0</v>
      </c>
      <c r="EF107" s="399">
        <v>0</v>
      </c>
      <c r="EG107" s="399"/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/>
      <c r="EN107" s="399"/>
      <c r="EO107" s="399">
        <v>0</v>
      </c>
      <c r="EP107" s="399">
        <v>0</v>
      </c>
      <c r="EQ107" s="399"/>
      <c r="ER107" s="399">
        <v>0</v>
      </c>
      <c r="ES107" s="399"/>
      <c r="ET107" s="399">
        <v>0</v>
      </c>
      <c r="EU107" s="399"/>
      <c r="EV107" s="399">
        <v>227</v>
      </c>
      <c r="EW107" s="399"/>
      <c r="EX107" s="399"/>
      <c r="EY107" s="399"/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956</v>
      </c>
      <c r="C108" s="399" t="s">
        <v>2328</v>
      </c>
      <c r="D108" s="399" t="s">
        <v>1826</v>
      </c>
      <c r="E108" s="399" t="s">
        <v>918</v>
      </c>
      <c r="F108" s="399" t="s">
        <v>1239</v>
      </c>
      <c r="G108" s="399" t="s">
        <v>1239</v>
      </c>
      <c r="H108" s="399" t="s">
        <v>1239</v>
      </c>
      <c r="I108" s="399" t="s">
        <v>1239</v>
      </c>
      <c r="J108" s="399" t="s">
        <v>2329</v>
      </c>
      <c r="K108" s="789">
        <v>44621</v>
      </c>
      <c r="L108" s="399">
        <v>0</v>
      </c>
      <c r="M108" s="399">
        <v>0</v>
      </c>
      <c r="N108" s="399">
        <v>18.393000000000001</v>
      </c>
      <c r="O108" s="399">
        <v>18.393000000000001</v>
      </c>
      <c r="P108" s="399">
        <v>18.393000000000001</v>
      </c>
      <c r="Q108" s="399">
        <v>18.393000000000001</v>
      </c>
      <c r="R108" s="399"/>
      <c r="S108" s="399">
        <v>425.49</v>
      </c>
      <c r="T108" s="399">
        <v>205.96</v>
      </c>
      <c r="U108" s="399"/>
      <c r="V108" s="399">
        <v>11614.25985</v>
      </c>
      <c r="W108" s="399">
        <v>11614.25985</v>
      </c>
      <c r="X108" s="399">
        <v>8692.1639400000004</v>
      </c>
      <c r="Y108" s="399">
        <v>0</v>
      </c>
      <c r="Z108" s="399">
        <v>1121.4966901948717</v>
      </c>
      <c r="AA108" s="399">
        <v>0</v>
      </c>
      <c r="AB108" s="399">
        <v>0</v>
      </c>
      <c r="AC108" s="399">
        <v>0</v>
      </c>
      <c r="AD108" s="399">
        <v>1490.9784382900762</v>
      </c>
      <c r="AE108" s="399">
        <v>4580.5634781995714</v>
      </c>
      <c r="AF108" s="399">
        <v>3695.8119241616614</v>
      </c>
      <c r="AG108" s="399">
        <v>92.486460040879635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173.32038016419887</v>
      </c>
      <c r="AM108" s="399"/>
      <c r="AN108" s="399">
        <v>19.900364485144667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439.82198699109512</v>
      </c>
      <c r="BH108" s="399">
        <v>0</v>
      </c>
      <c r="BI108" s="399">
        <v>85.96</v>
      </c>
      <c r="BJ108" s="399">
        <v>399.11</v>
      </c>
      <c r="BK108" s="399">
        <v>3873.09</v>
      </c>
      <c r="BL108" s="399">
        <v>54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4135.6339111527568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8690.7462000000014</v>
      </c>
      <c r="CJ108" s="399">
        <v>-2923.5436499999996</v>
      </c>
      <c r="CK108" s="399"/>
      <c r="CL108" s="399"/>
      <c r="CM108" s="399"/>
      <c r="CN108" s="399"/>
      <c r="CO108" s="399">
        <v>-3126.25821</v>
      </c>
      <c r="CP108" s="399">
        <v>204.1622999999999</v>
      </c>
      <c r="CQ108" s="399">
        <v>31</v>
      </c>
      <c r="CR108" s="399">
        <v>-127.79890605676792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-186.2706528440865</v>
      </c>
      <c r="DA108" s="399">
        <v>0</v>
      </c>
      <c r="DB108" s="399">
        <v>0</v>
      </c>
      <c r="DC108" s="399">
        <v>204.10931749892052</v>
      </c>
      <c r="DD108" s="399">
        <v>0</v>
      </c>
      <c r="DE108" s="399">
        <v>0</v>
      </c>
      <c r="DF108" s="399">
        <v>0</v>
      </c>
      <c r="DG108" s="399">
        <v>24.290133650711425</v>
      </c>
      <c r="DH108" s="399">
        <v>0</v>
      </c>
      <c r="DI108" s="399">
        <v>-146.96653767808345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-19.35096865321546</v>
      </c>
      <c r="DP108" s="399">
        <v>-3.610198031014523</v>
      </c>
      <c r="DQ108" s="399">
        <v>0</v>
      </c>
      <c r="DR108" s="399">
        <v>0</v>
      </c>
      <c r="DS108" s="399"/>
      <c r="DT108" s="399"/>
      <c r="DU108" s="399"/>
      <c r="DV108" s="399">
        <v>4580.5634781995714</v>
      </c>
      <c r="DW108" s="399">
        <v>0</v>
      </c>
      <c r="DX108" s="399">
        <v>0</v>
      </c>
      <c r="DY108" s="399">
        <v>-3126.25821</v>
      </c>
      <c r="DZ108" s="399">
        <v>204.16229999999996</v>
      </c>
      <c r="EA108" s="399">
        <v>0</v>
      </c>
      <c r="EB108" s="399">
        <v>0</v>
      </c>
      <c r="EC108" s="399">
        <v>-2794.4482469503073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227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956</v>
      </c>
      <c r="C109" s="399" t="s">
        <v>2328</v>
      </c>
      <c r="D109" s="399" t="s">
        <v>2335</v>
      </c>
      <c r="E109" s="399" t="s">
        <v>894</v>
      </c>
      <c r="F109" s="399" t="s">
        <v>1239</v>
      </c>
      <c r="G109" s="399" t="s">
        <v>1239</v>
      </c>
      <c r="H109" s="399" t="s">
        <v>1239</v>
      </c>
      <c r="I109" s="399" t="s">
        <v>1239</v>
      </c>
      <c r="J109" s="399" t="s">
        <v>2329</v>
      </c>
      <c r="K109" s="789">
        <v>44621</v>
      </c>
      <c r="L109" s="399">
        <v>0</v>
      </c>
      <c r="M109" s="399">
        <v>0</v>
      </c>
      <c r="N109" s="399">
        <v>70.349000000000004</v>
      </c>
      <c r="O109" s="399">
        <v>70.349000000000004</v>
      </c>
      <c r="P109" s="399">
        <v>70.349000000000004</v>
      </c>
      <c r="Q109" s="399">
        <v>70.349000000000004</v>
      </c>
      <c r="R109" s="399"/>
      <c r="S109" s="399">
        <v>425.49</v>
      </c>
      <c r="T109" s="399">
        <v>205.96</v>
      </c>
      <c r="U109" s="399"/>
      <c r="V109" s="399">
        <v>44421.876050000006</v>
      </c>
      <c r="W109" s="399">
        <v>44421.876050000006</v>
      </c>
      <c r="X109" s="399">
        <v>33245.530420000003</v>
      </c>
      <c r="Y109" s="399">
        <v>0</v>
      </c>
      <c r="Z109" s="399">
        <v>4289.4672244070589</v>
      </c>
      <c r="AA109" s="399">
        <v>0</v>
      </c>
      <c r="AB109" s="399">
        <v>0</v>
      </c>
      <c r="AC109" s="399">
        <v>0</v>
      </c>
      <c r="AD109" s="399">
        <v>5702.6500383444009</v>
      </c>
      <c r="AE109" s="399">
        <v>17519.603116830407</v>
      </c>
      <c r="AF109" s="399">
        <v>14135.631656219688</v>
      </c>
      <c r="AG109" s="399">
        <v>353.73946487336713</v>
      </c>
      <c r="AH109" s="399">
        <v>0</v>
      </c>
      <c r="AI109" s="399">
        <v>0</v>
      </c>
      <c r="AJ109" s="399">
        <v>0</v>
      </c>
      <c r="AK109" s="399">
        <v>0</v>
      </c>
      <c r="AL109" s="399">
        <v>662.91064123151341</v>
      </c>
      <c r="AM109" s="399"/>
      <c r="AN109" s="399">
        <v>76.114322903574305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1682.2180700721226</v>
      </c>
      <c r="BH109" s="399">
        <v>0</v>
      </c>
      <c r="BI109" s="399">
        <v>195.54</v>
      </c>
      <c r="BJ109" s="399">
        <v>915.77</v>
      </c>
      <c r="BK109" s="399">
        <v>6404.53</v>
      </c>
      <c r="BL109" s="399">
        <v>243</v>
      </c>
      <c r="BM109" s="399"/>
      <c r="BN109" s="399"/>
      <c r="BO109" s="399"/>
      <c r="BP109" s="399"/>
      <c r="BQ109" s="399"/>
      <c r="BR109" s="399">
        <v>3990.1952800000022</v>
      </c>
      <c r="BS109" s="399"/>
      <c r="BT109" s="399"/>
      <c r="BU109" s="399"/>
      <c r="BV109" s="399">
        <v>15817.84972629181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29255.750999999997</v>
      </c>
      <c r="CJ109" s="399">
        <v>-9835.811320000008</v>
      </c>
      <c r="CK109" s="399"/>
      <c r="CL109" s="399"/>
      <c r="CM109" s="399"/>
      <c r="CN109" s="399"/>
      <c r="CO109" s="399">
        <v>-11957.21953</v>
      </c>
      <c r="CP109" s="399">
        <v>780.87389999999959</v>
      </c>
      <c r="CQ109" s="399">
        <v>31</v>
      </c>
      <c r="CR109" s="399">
        <v>-488.80145936973349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-712.44245946439605</v>
      </c>
      <c r="DA109" s="399">
        <v>0</v>
      </c>
      <c r="DB109" s="399">
        <v>0</v>
      </c>
      <c r="DC109" s="399">
        <v>780.67125410381959</v>
      </c>
      <c r="DD109" s="399">
        <v>0</v>
      </c>
      <c r="DE109" s="399">
        <v>0</v>
      </c>
      <c r="DF109" s="399">
        <v>0</v>
      </c>
      <c r="DG109" s="399">
        <v>92.904181601364598</v>
      </c>
      <c r="DH109" s="399">
        <v>0</v>
      </c>
      <c r="DI109" s="399">
        <v>-562.11324738299891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-74.013010046488034</v>
      </c>
      <c r="DP109" s="399">
        <v>-13.808178181038471</v>
      </c>
      <c r="DQ109" s="399">
        <v>0</v>
      </c>
      <c r="DR109" s="399">
        <v>0</v>
      </c>
      <c r="DS109" s="399"/>
      <c r="DT109" s="399"/>
      <c r="DU109" s="399"/>
      <c r="DV109" s="399">
        <v>17519.603116830407</v>
      </c>
      <c r="DW109" s="399">
        <v>0</v>
      </c>
      <c r="DX109" s="399">
        <v>0</v>
      </c>
      <c r="DY109" s="399">
        <v>-11957.219529999998</v>
      </c>
      <c r="DZ109" s="399">
        <v>780.8739000000005</v>
      </c>
      <c r="EA109" s="399">
        <v>0</v>
      </c>
      <c r="EB109" s="399">
        <v>0</v>
      </c>
      <c r="EC109" s="399">
        <v>-10688.122640390757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227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956</v>
      </c>
      <c r="C110" s="399" t="s">
        <v>2328</v>
      </c>
      <c r="D110" s="399" t="s">
        <v>1826</v>
      </c>
      <c r="E110" s="399" t="s">
        <v>2336</v>
      </c>
      <c r="F110" s="399" t="s">
        <v>1239</v>
      </c>
      <c r="G110" s="399" t="s">
        <v>1239</v>
      </c>
      <c r="H110" s="399" t="s">
        <v>1239</v>
      </c>
      <c r="I110" s="399" t="s">
        <v>1239</v>
      </c>
      <c r="J110" s="399" t="s">
        <v>2329</v>
      </c>
      <c r="K110" s="789">
        <v>44621</v>
      </c>
      <c r="L110" s="399">
        <v>0</v>
      </c>
      <c r="M110" s="399">
        <v>0</v>
      </c>
      <c r="N110" s="399">
        <v>5.4210000000000003</v>
      </c>
      <c r="O110" s="399">
        <v>5.4210000000000003</v>
      </c>
      <c r="P110" s="399">
        <v>5.4210000000000003</v>
      </c>
      <c r="Q110" s="399">
        <v>5.4210000000000003</v>
      </c>
      <c r="R110" s="399"/>
      <c r="S110" s="399">
        <v>425.49</v>
      </c>
      <c r="T110" s="399">
        <v>205.96</v>
      </c>
      <c r="U110" s="399"/>
      <c r="V110" s="399">
        <v>3423.0904500000001</v>
      </c>
      <c r="W110" s="399">
        <v>3423.0904500000001</v>
      </c>
      <c r="X110" s="399">
        <v>2561.8561800000002</v>
      </c>
      <c r="Y110" s="399">
        <v>0</v>
      </c>
      <c r="Z110" s="399">
        <v>330.54061640550208</v>
      </c>
      <c r="AA110" s="399">
        <v>0</v>
      </c>
      <c r="AB110" s="399">
        <v>0</v>
      </c>
      <c r="AC110" s="399">
        <v>0</v>
      </c>
      <c r="AD110" s="399">
        <v>439.4385969646334</v>
      </c>
      <c r="AE110" s="399">
        <v>1350.0372215146999</v>
      </c>
      <c r="AF110" s="399">
        <v>1089.2728995204898</v>
      </c>
      <c r="AG110" s="399">
        <v>27.258690799848232</v>
      </c>
      <c r="AH110" s="399">
        <v>0</v>
      </c>
      <c r="AI110" s="399">
        <v>0</v>
      </c>
      <c r="AJ110" s="399">
        <v>0</v>
      </c>
      <c r="AK110" s="399">
        <v>0</v>
      </c>
      <c r="AL110" s="399">
        <v>51.083008800637309</v>
      </c>
      <c r="AM110" s="399"/>
      <c r="AN110" s="399">
        <v>5.865268084269518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129.62947814270248</v>
      </c>
      <c r="BH110" s="399">
        <v>0</v>
      </c>
      <c r="BI110" s="399">
        <v>30.25</v>
      </c>
      <c r="BJ110" s="399">
        <v>140.11000000000001</v>
      </c>
      <c r="BK110" s="399">
        <v>1167.25</v>
      </c>
      <c r="BL110" s="399">
        <v>13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1218.9023776631923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2561.3836000000001</v>
      </c>
      <c r="CJ110" s="399">
        <v>-861.73685000000069</v>
      </c>
      <c r="CK110" s="399"/>
      <c r="CL110" s="399"/>
      <c r="CM110" s="399"/>
      <c r="CN110" s="399"/>
      <c r="CO110" s="399">
        <v>-921.40737000000001</v>
      </c>
      <c r="CP110" s="399">
        <v>60.17309999999997</v>
      </c>
      <c r="CQ110" s="399">
        <v>31</v>
      </c>
      <c r="CR110" s="399">
        <v>-37.666387741735662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-54.89986457172796</v>
      </c>
      <c r="DA110" s="399">
        <v>0</v>
      </c>
      <c r="DB110" s="399">
        <v>0</v>
      </c>
      <c r="DC110" s="399">
        <v>60.157484377841911</v>
      </c>
      <c r="DD110" s="399">
        <v>0</v>
      </c>
      <c r="DE110" s="399">
        <v>0</v>
      </c>
      <c r="DF110" s="399">
        <v>0</v>
      </c>
      <c r="DG110" s="399">
        <v>7.1590721753116213</v>
      </c>
      <c r="DH110" s="399">
        <v>0</v>
      </c>
      <c r="DI110" s="399">
        <v>-43.315696229701018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-5.7033437214745248</v>
      </c>
      <c r="DP110" s="399">
        <v>-1.0640397719855237</v>
      </c>
      <c r="DQ110" s="399">
        <v>0</v>
      </c>
      <c r="DR110" s="399">
        <v>0</v>
      </c>
      <c r="DS110" s="399"/>
      <c r="DT110" s="399"/>
      <c r="DU110" s="399"/>
      <c r="DV110" s="399">
        <v>1350.0372215146999</v>
      </c>
      <c r="DW110" s="399">
        <v>0</v>
      </c>
      <c r="DX110" s="399">
        <v>0</v>
      </c>
      <c r="DY110" s="399">
        <v>-921.4073699999999</v>
      </c>
      <c r="DZ110" s="399">
        <v>60.173099999999977</v>
      </c>
      <c r="EA110" s="399">
        <v>0</v>
      </c>
      <c r="EB110" s="399">
        <v>0</v>
      </c>
      <c r="EC110" s="399">
        <v>-823.61245836555292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227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956</v>
      </c>
      <c r="C111" s="399" t="s">
        <v>2328</v>
      </c>
      <c r="D111" s="399" t="s">
        <v>2337</v>
      </c>
      <c r="E111" s="399" t="s">
        <v>2338</v>
      </c>
      <c r="F111" s="399" t="s">
        <v>2339</v>
      </c>
      <c r="G111" s="399" t="s">
        <v>1239</v>
      </c>
      <c r="H111" s="399" t="s">
        <v>1239</v>
      </c>
      <c r="I111" s="399" t="s">
        <v>1239</v>
      </c>
      <c r="J111" s="399" t="s">
        <v>2329</v>
      </c>
      <c r="K111" s="789">
        <v>44621</v>
      </c>
      <c r="L111" s="399">
        <v>0</v>
      </c>
      <c r="M111" s="399">
        <v>0</v>
      </c>
      <c r="N111" s="399">
        <v>19.285</v>
      </c>
      <c r="O111" s="399">
        <v>19.285</v>
      </c>
      <c r="P111" s="399">
        <v>19.285</v>
      </c>
      <c r="Q111" s="399">
        <v>19.285</v>
      </c>
      <c r="R111" s="399"/>
      <c r="S111" s="399">
        <v>234.02</v>
      </c>
      <c r="T111" s="399">
        <v>113.28</v>
      </c>
      <c r="U111" s="399"/>
      <c r="V111" s="399">
        <v>6697.6805000000004</v>
      </c>
      <c r="W111" s="399">
        <v>6697.6805000000004</v>
      </c>
      <c r="X111" s="399">
        <v>5012.3643499999998</v>
      </c>
      <c r="Y111" s="399">
        <v>0</v>
      </c>
      <c r="Z111" s="399">
        <v>646.73707490482502</v>
      </c>
      <c r="AA111" s="399">
        <v>0</v>
      </c>
      <c r="AB111" s="399">
        <v>0</v>
      </c>
      <c r="AC111" s="399">
        <v>0</v>
      </c>
      <c r="AD111" s="399">
        <v>859.80729355370374</v>
      </c>
      <c r="AE111" s="399">
        <v>2641.4881570376315</v>
      </c>
      <c r="AF111" s="399">
        <v>2131.2756552276182</v>
      </c>
      <c r="AG111" s="399">
        <v>53.334462025694499</v>
      </c>
      <c r="AH111" s="399">
        <v>0</v>
      </c>
      <c r="AI111" s="399">
        <v>0</v>
      </c>
      <c r="AJ111" s="399">
        <v>0</v>
      </c>
      <c r="AK111" s="399">
        <v>0</v>
      </c>
      <c r="AL111" s="399">
        <v>99.94921667518166</v>
      </c>
      <c r="AM111" s="399"/>
      <c r="AN111" s="399">
        <v>11.476006687479394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253.63354866078484</v>
      </c>
      <c r="BH111" s="399">
        <v>0</v>
      </c>
      <c r="BI111" s="399">
        <v>70.599999999999994</v>
      </c>
      <c r="BJ111" s="399">
        <v>325.89</v>
      </c>
      <c r="BK111" s="399">
        <v>2715.76</v>
      </c>
      <c r="BL111" s="399">
        <v>2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2384.9092038884032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5013.6638999999996</v>
      </c>
      <c r="CJ111" s="399">
        <v>-1684.0466000000015</v>
      </c>
      <c r="CK111" s="399"/>
      <c r="CL111" s="399"/>
      <c r="CM111" s="399"/>
      <c r="CN111" s="399"/>
      <c r="CO111" s="399">
        <v>-1802.9546500000001</v>
      </c>
      <c r="CP111" s="399">
        <v>117.63849999999989</v>
      </c>
      <c r="CQ111" s="399">
        <v>31</v>
      </c>
      <c r="CR111" s="399">
        <v>-73.698202947715345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-107.41729174436057</v>
      </c>
      <c r="DA111" s="399">
        <v>0</v>
      </c>
      <c r="DB111" s="399">
        <v>0</v>
      </c>
      <c r="DC111" s="399">
        <v>117.70437141205775</v>
      </c>
      <c r="DD111" s="399">
        <v>0</v>
      </c>
      <c r="DE111" s="399">
        <v>0</v>
      </c>
      <c r="DF111" s="399">
        <v>0</v>
      </c>
      <c r="DG111" s="399">
        <v>14.007468879447146</v>
      </c>
      <c r="DH111" s="399">
        <v>0</v>
      </c>
      <c r="DI111" s="399">
        <v>-84.751662236557195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-11.159184840020373</v>
      </c>
      <c r="DP111" s="399">
        <v>-2.0819044182821429</v>
      </c>
      <c r="DQ111" s="399">
        <v>0</v>
      </c>
      <c r="DR111" s="399">
        <v>0</v>
      </c>
      <c r="DS111" s="399"/>
      <c r="DT111" s="399"/>
      <c r="DU111" s="399"/>
      <c r="DV111" s="399">
        <v>2641.4881570376315</v>
      </c>
      <c r="DW111" s="399">
        <v>0</v>
      </c>
      <c r="DX111" s="399">
        <v>0</v>
      </c>
      <c r="DY111" s="399">
        <v>-1802.9546500000001</v>
      </c>
      <c r="DZ111" s="399">
        <v>117.63850000000002</v>
      </c>
      <c r="EA111" s="399">
        <v>0</v>
      </c>
      <c r="EB111" s="399">
        <v>0</v>
      </c>
      <c r="EC111" s="399">
        <v>-1611.4833873397497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227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956</v>
      </c>
      <c r="C112" s="399" t="s">
        <v>2328</v>
      </c>
      <c r="D112" s="399" t="s">
        <v>2335</v>
      </c>
      <c r="E112" s="399" t="s">
        <v>894</v>
      </c>
      <c r="F112" s="399" t="s">
        <v>2342</v>
      </c>
      <c r="G112" s="399" t="s">
        <v>2340</v>
      </c>
      <c r="H112" s="399" t="s">
        <v>1239</v>
      </c>
      <c r="I112" s="399" t="s">
        <v>1239</v>
      </c>
      <c r="J112" s="399" t="s">
        <v>2329</v>
      </c>
      <c r="K112" s="789">
        <v>44621</v>
      </c>
      <c r="L112" s="399">
        <v>0</v>
      </c>
      <c r="M112" s="399">
        <v>0</v>
      </c>
      <c r="N112" s="399">
        <v>0</v>
      </c>
      <c r="O112" s="399">
        <v>0</v>
      </c>
      <c r="P112" s="399">
        <v>0</v>
      </c>
      <c r="Q112" s="399">
        <v>0</v>
      </c>
      <c r="R112" s="399"/>
      <c r="S112" s="399"/>
      <c r="T112" s="399"/>
      <c r="U112" s="399"/>
      <c r="V112" s="399"/>
      <c r="W112" s="399"/>
      <c r="X112" s="399"/>
      <c r="Y112" s="399"/>
      <c r="Z112" s="399"/>
      <c r="AA112" s="399">
        <v>0</v>
      </c>
      <c r="AB112" s="399"/>
      <c r="AC112" s="399"/>
      <c r="AD112" s="399"/>
      <c r="AE112" s="399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  <c r="AR112" s="399"/>
      <c r="AS112" s="399"/>
      <c r="AT112" s="399"/>
      <c r="AU112" s="399"/>
      <c r="AV112" s="399"/>
      <c r="AW112" s="399"/>
      <c r="AX112" s="399"/>
      <c r="AY112" s="399"/>
      <c r="AZ112" s="399">
        <v>0</v>
      </c>
      <c r="BA112" s="399"/>
      <c r="BB112" s="399"/>
      <c r="BC112" s="399"/>
      <c r="BD112" s="399"/>
      <c r="BE112" s="399"/>
      <c r="BF112" s="399"/>
      <c r="BG112" s="399"/>
      <c r="BH112" s="399"/>
      <c r="BI112" s="399">
        <v>0.52</v>
      </c>
      <c r="BJ112" s="399">
        <v>2.46</v>
      </c>
      <c r="BK112" s="399">
        <v>15.42</v>
      </c>
      <c r="BL112" s="399">
        <v>1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/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/>
      <c r="CJ112" s="399">
        <v>-0.03</v>
      </c>
      <c r="CK112" s="399"/>
      <c r="CL112" s="399"/>
      <c r="CM112" s="399"/>
      <c r="CN112" s="399"/>
      <c r="CO112" s="399">
        <v>0</v>
      </c>
      <c r="CP112" s="399">
        <v>0</v>
      </c>
      <c r="CQ112" s="399">
        <v>31</v>
      </c>
      <c r="CR112" s="399"/>
      <c r="CS112" s="399"/>
      <c r="CT112" s="399"/>
      <c r="CU112" s="399"/>
      <c r="CV112" s="399"/>
      <c r="CW112" s="399"/>
      <c r="CX112" s="399"/>
      <c r="CY112" s="399"/>
      <c r="CZ112" s="399"/>
      <c r="DA112" s="399"/>
      <c r="DB112" s="399"/>
      <c r="DC112" s="399"/>
      <c r="DD112" s="399"/>
      <c r="DE112" s="399"/>
      <c r="DF112" s="399"/>
      <c r="DG112" s="399"/>
      <c r="DH112" s="399"/>
      <c r="DI112" s="399"/>
      <c r="DJ112" s="399"/>
      <c r="DK112" s="399">
        <v>0</v>
      </c>
      <c r="DL112" s="399"/>
      <c r="DM112" s="399"/>
      <c r="DN112" s="399"/>
      <c r="DO112" s="399"/>
      <c r="DP112" s="399"/>
      <c r="DQ112" s="399"/>
      <c r="DR112" s="399"/>
      <c r="DS112" s="399"/>
      <c r="DT112" s="399"/>
      <c r="DU112" s="399"/>
      <c r="DV112" s="399"/>
      <c r="DW112" s="399"/>
      <c r="DX112" s="399"/>
      <c r="DY112" s="399"/>
      <c r="DZ112" s="399"/>
      <c r="EA112" s="399"/>
      <c r="EB112" s="399"/>
      <c r="EC112" s="399"/>
      <c r="ED112" s="399"/>
      <c r="EE112" s="399"/>
      <c r="EF112" s="399"/>
      <c r="EG112" s="399"/>
      <c r="EH112" s="399"/>
      <c r="EI112" s="399"/>
      <c r="EJ112" s="399"/>
      <c r="EK112" s="399"/>
      <c r="EL112" s="399"/>
      <c r="EM112" s="399"/>
      <c r="EN112" s="399"/>
      <c r="EO112" s="399"/>
      <c r="EP112" s="399"/>
      <c r="EQ112" s="399"/>
      <c r="ER112" s="399"/>
      <c r="ES112" s="399"/>
      <c r="ET112" s="399"/>
      <c r="EU112" s="399"/>
      <c r="EV112" s="399">
        <v>227</v>
      </c>
      <c r="EW112" s="399"/>
      <c r="EX112" s="399"/>
      <c r="EY112" s="399"/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956</v>
      </c>
      <c r="C113" s="399" t="s">
        <v>2328</v>
      </c>
      <c r="D113" s="399" t="s">
        <v>2335</v>
      </c>
      <c r="E113" s="399" t="s">
        <v>894</v>
      </c>
      <c r="F113" s="399" t="s">
        <v>2342</v>
      </c>
      <c r="G113" s="399" t="s">
        <v>2340</v>
      </c>
      <c r="H113" s="399" t="s">
        <v>1239</v>
      </c>
      <c r="I113" s="399" t="s">
        <v>1239</v>
      </c>
      <c r="J113" s="399" t="s">
        <v>2329</v>
      </c>
      <c r="K113" s="789">
        <v>44621</v>
      </c>
      <c r="L113" s="399">
        <v>0</v>
      </c>
      <c r="M113" s="399">
        <v>0</v>
      </c>
      <c r="N113" s="399">
        <v>0.157</v>
      </c>
      <c r="O113" s="399">
        <v>0.157</v>
      </c>
      <c r="P113" s="399">
        <v>0.157</v>
      </c>
      <c r="Q113" s="399">
        <v>0.157</v>
      </c>
      <c r="R113" s="399"/>
      <c r="S113" s="399">
        <v>425.49</v>
      </c>
      <c r="T113" s="399">
        <v>205.96</v>
      </c>
      <c r="U113" s="399"/>
      <c r="V113" s="399">
        <v>99.137650000000008</v>
      </c>
      <c r="W113" s="399">
        <v>99.137650000000008</v>
      </c>
      <c r="X113" s="399">
        <v>74.195060000000012</v>
      </c>
      <c r="Y113" s="399">
        <v>0</v>
      </c>
      <c r="Z113" s="399">
        <v>9.5729342880767057</v>
      </c>
      <c r="AA113" s="399">
        <v>0</v>
      </c>
      <c r="AB113" s="399">
        <v>0</v>
      </c>
      <c r="AC113" s="399">
        <v>0</v>
      </c>
      <c r="AD113" s="399">
        <v>12.726777296337843</v>
      </c>
      <c r="AE113" s="399">
        <v>39.099030396201421</v>
      </c>
      <c r="AF113" s="399">
        <v>31.54691850668085</v>
      </c>
      <c r="AG113" s="399">
        <v>0.78945110783548644</v>
      </c>
      <c r="AH113" s="399">
        <v>0</v>
      </c>
      <c r="AI113" s="399">
        <v>0</v>
      </c>
      <c r="AJ113" s="399">
        <v>0</v>
      </c>
      <c r="AK113" s="399">
        <v>0</v>
      </c>
      <c r="AL113" s="399">
        <v>1.4794378125253749</v>
      </c>
      <c r="AM113" s="399"/>
      <c r="AN113" s="399">
        <v>0.16986664623322528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3.7542571607460413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>
        <v>8.9050400000000032</v>
      </c>
      <c r="BS113" s="399"/>
      <c r="BT113" s="399"/>
      <c r="BU113" s="399"/>
      <c r="BV113" s="399">
        <v>35.30117566742689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66.537599999999998</v>
      </c>
      <c r="CJ113" s="399">
        <v>-20.734160000000003</v>
      </c>
      <c r="CK113" s="399"/>
      <c r="CL113" s="399"/>
      <c r="CM113" s="399"/>
      <c r="CN113" s="399"/>
      <c r="CO113" s="399">
        <v>-26.685289999999998</v>
      </c>
      <c r="CP113" s="399">
        <v>1.742699999999999</v>
      </c>
      <c r="CQ113" s="399">
        <v>31</v>
      </c>
      <c r="CR113" s="399">
        <v>-1.0908730631714505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-1.5899794756984509</v>
      </c>
      <c r="DA113" s="399">
        <v>0</v>
      </c>
      <c r="DB113" s="399">
        <v>0</v>
      </c>
      <c r="DC113" s="399">
        <v>1.7422477489985617</v>
      </c>
      <c r="DD113" s="399">
        <v>0</v>
      </c>
      <c r="DE113" s="399">
        <v>0</v>
      </c>
      <c r="DF113" s="399">
        <v>0</v>
      </c>
      <c r="DG113" s="399">
        <v>0.20733708384503258</v>
      </c>
      <c r="DH113" s="399">
        <v>0</v>
      </c>
      <c r="DI113" s="399">
        <v>-1.2544852071689832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-0.16517708250719432</v>
      </c>
      <c r="DP113" s="399">
        <v>-3.0816130640421907E-2</v>
      </c>
      <c r="DQ113" s="399">
        <v>0</v>
      </c>
      <c r="DR113" s="399">
        <v>0</v>
      </c>
      <c r="DS113" s="399"/>
      <c r="DT113" s="399"/>
      <c r="DU113" s="399"/>
      <c r="DV113" s="399">
        <v>39.099030396201421</v>
      </c>
      <c r="DW113" s="399">
        <v>0</v>
      </c>
      <c r="DX113" s="399">
        <v>0</v>
      </c>
      <c r="DY113" s="399">
        <v>-26.685289999999995</v>
      </c>
      <c r="DZ113" s="399">
        <v>1.7426999999999992</v>
      </c>
      <c r="EA113" s="399">
        <v>0</v>
      </c>
      <c r="EB113" s="399">
        <v>0</v>
      </c>
      <c r="EC113" s="399">
        <v>-23.853007925362817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227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956</v>
      </c>
      <c r="C114" s="399" t="s">
        <v>2328</v>
      </c>
      <c r="D114" s="399" t="s">
        <v>2335</v>
      </c>
      <c r="E114" s="399" t="s">
        <v>894</v>
      </c>
      <c r="F114" s="399" t="s">
        <v>2342</v>
      </c>
      <c r="G114" s="399" t="s">
        <v>2341</v>
      </c>
      <c r="H114" s="399" t="s">
        <v>1239</v>
      </c>
      <c r="I114" s="399" t="s">
        <v>1239</v>
      </c>
      <c r="J114" s="399" t="s">
        <v>2329</v>
      </c>
      <c r="K114" s="789">
        <v>44621</v>
      </c>
      <c r="L114" s="399">
        <v>0</v>
      </c>
      <c r="M114" s="399">
        <v>0</v>
      </c>
      <c r="N114" s="399">
        <v>0.10100000000000001</v>
      </c>
      <c r="O114" s="399">
        <v>4.0399999999999998E-2</v>
      </c>
      <c r="P114" s="399">
        <v>0.10100000000000001</v>
      </c>
      <c r="Q114" s="399">
        <v>4.0399999999999998E-2</v>
      </c>
      <c r="R114" s="399"/>
      <c r="S114" s="399">
        <v>425.49</v>
      </c>
      <c r="T114" s="399">
        <v>205.96</v>
      </c>
      <c r="U114" s="399"/>
      <c r="V114" s="399">
        <v>63.776450000000004</v>
      </c>
      <c r="W114" s="399">
        <v>63.776450000000004</v>
      </c>
      <c r="X114" s="399">
        <v>47.730580000000003</v>
      </c>
      <c r="Y114" s="399">
        <v>0</v>
      </c>
      <c r="Z114" s="399">
        <v>6.1583844783168624</v>
      </c>
      <c r="AA114" s="399">
        <v>0</v>
      </c>
      <c r="AB114" s="399">
        <v>0</v>
      </c>
      <c r="AC114" s="399">
        <v>0</v>
      </c>
      <c r="AD114" s="399">
        <v>8.187289853058104</v>
      </c>
      <c r="AE114" s="399">
        <v>25.152879426855691</v>
      </c>
      <c r="AF114" s="399">
        <v>20.294514453342458</v>
      </c>
      <c r="AG114" s="399">
        <v>0.50786345153747858</v>
      </c>
      <c r="AH114" s="399">
        <v>0</v>
      </c>
      <c r="AI114" s="399">
        <v>0</v>
      </c>
      <c r="AJ114" s="399">
        <v>0</v>
      </c>
      <c r="AK114" s="399">
        <v>0</v>
      </c>
      <c r="AL114" s="399">
        <v>0.95174024882205654</v>
      </c>
      <c r="AM114" s="399"/>
      <c r="AN114" s="399">
        <v>0.10927726923283919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2.415159065193313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>
        <v>30.929836000000005</v>
      </c>
      <c r="BT114" s="399"/>
      <c r="BU114" s="399"/>
      <c r="BV114" s="399">
        <v>22.709673518535773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16.634399999999999</v>
      </c>
      <c r="CJ114" s="399">
        <v>-5.8450720000000018</v>
      </c>
      <c r="CK114" s="399"/>
      <c r="CL114" s="399"/>
      <c r="CM114" s="399"/>
      <c r="CN114" s="399"/>
      <c r="CO114" s="399">
        <v>-17.166970000000003</v>
      </c>
      <c r="CP114" s="399">
        <v>1.1210999999999995</v>
      </c>
      <c r="CQ114" s="399">
        <v>31</v>
      </c>
      <c r="CR114" s="399">
        <v>-0.7017718431867408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-1.0228530385066472</v>
      </c>
      <c r="DA114" s="399">
        <v>0</v>
      </c>
      <c r="DB114" s="399">
        <v>0</v>
      </c>
      <c r="DC114" s="399">
        <v>1.1208090614576705</v>
      </c>
      <c r="DD114" s="399">
        <v>0</v>
      </c>
      <c r="DE114" s="399">
        <v>0</v>
      </c>
      <c r="DF114" s="399">
        <v>0</v>
      </c>
      <c r="DG114" s="399">
        <v>0.1333824552124101</v>
      </c>
      <c r="DH114" s="399">
        <v>0</v>
      </c>
      <c r="DI114" s="399">
        <v>-0.80702551543991952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-0.10626041613520143</v>
      </c>
      <c r="DP114" s="399">
        <v>-1.9824389775048482E-2</v>
      </c>
      <c r="DQ114" s="399">
        <v>0</v>
      </c>
      <c r="DR114" s="399">
        <v>0</v>
      </c>
      <c r="DS114" s="399"/>
      <c r="DT114" s="399"/>
      <c r="DU114" s="399"/>
      <c r="DV114" s="399">
        <v>25.152879426855691</v>
      </c>
      <c r="DW114" s="399">
        <v>0</v>
      </c>
      <c r="DX114" s="399">
        <v>0</v>
      </c>
      <c r="DY114" s="399">
        <v>-17.166969999999999</v>
      </c>
      <c r="DZ114" s="399">
        <v>1.121100000000002</v>
      </c>
      <c r="EA114" s="399">
        <v>0</v>
      </c>
      <c r="EB114" s="399">
        <v>0</v>
      </c>
      <c r="EC114" s="399">
        <v>-15.344928665360793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227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956</v>
      </c>
      <c r="C115" s="399" t="s">
        <v>2328</v>
      </c>
      <c r="D115" s="399" t="s">
        <v>1823</v>
      </c>
      <c r="E115" s="399" t="s">
        <v>889</v>
      </c>
      <c r="F115" s="399" t="s">
        <v>889</v>
      </c>
      <c r="G115" s="399" t="s">
        <v>1239</v>
      </c>
      <c r="H115" s="399" t="s">
        <v>1239</v>
      </c>
      <c r="I115" s="399" t="s">
        <v>1239</v>
      </c>
      <c r="J115" s="399" t="s">
        <v>2329</v>
      </c>
      <c r="K115" s="789">
        <v>44652</v>
      </c>
      <c r="L115" s="399">
        <v>0</v>
      </c>
      <c r="M115" s="399">
        <v>0</v>
      </c>
      <c r="N115" s="399">
        <v>179.13800000000001</v>
      </c>
      <c r="O115" s="399">
        <v>179.13800000000001</v>
      </c>
      <c r="P115" s="399">
        <v>179.13800000000001</v>
      </c>
      <c r="Q115" s="399">
        <v>179.13800000000001</v>
      </c>
      <c r="R115" s="399"/>
      <c r="S115" s="399">
        <v>425.49</v>
      </c>
      <c r="T115" s="399">
        <v>205.96</v>
      </c>
      <c r="U115" s="399"/>
      <c r="V115" s="399">
        <v>113116.69010000001</v>
      </c>
      <c r="W115" s="399">
        <v>113116.69010000001</v>
      </c>
      <c r="X115" s="399">
        <v>84657.036040000006</v>
      </c>
      <c r="Y115" s="399">
        <v>0</v>
      </c>
      <c r="Z115" s="399">
        <v>10922.778996799267</v>
      </c>
      <c r="AA115" s="399">
        <v>0</v>
      </c>
      <c r="AB115" s="399">
        <v>0</v>
      </c>
      <c r="AC115" s="399">
        <v>0</v>
      </c>
      <c r="AD115" s="399">
        <v>14521.333957397252</v>
      </c>
      <c r="AE115" s="399">
        <v>44612.242720475988</v>
      </c>
      <c r="AF115" s="399">
        <v>35995.234951909515</v>
      </c>
      <c r="AG115" s="399">
        <v>900.7687423912954</v>
      </c>
      <c r="AH115" s="399">
        <v>0</v>
      </c>
      <c r="AI115" s="399">
        <v>0</v>
      </c>
      <c r="AJ115" s="399">
        <v>0</v>
      </c>
      <c r="AK115" s="399">
        <v>0</v>
      </c>
      <c r="AL115" s="399">
        <v>1688.0479672622332</v>
      </c>
      <c r="AM115" s="399"/>
      <c r="AN115" s="399">
        <v>193.81892530527077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4283.6313328772248</v>
      </c>
      <c r="BH115" s="399">
        <v>0</v>
      </c>
      <c r="BI115" s="399">
        <v>490.14</v>
      </c>
      <c r="BJ115" s="399">
        <v>2266.84</v>
      </c>
      <c r="BK115" s="399">
        <v>23800.12</v>
      </c>
      <c r="BL115" s="399">
        <v>949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40278.866284786738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84657.981199999995</v>
      </c>
      <c r="CJ115" s="399">
        <v>-28458.738899999997</v>
      </c>
      <c r="CK115" s="399"/>
      <c r="CL115" s="399"/>
      <c r="CM115" s="399"/>
      <c r="CN115" s="399"/>
      <c r="CO115" s="399">
        <v>-30448.085859999999</v>
      </c>
      <c r="CP115" s="399">
        <v>1988.4317999999989</v>
      </c>
      <c r="CQ115" s="399">
        <v>30</v>
      </c>
      <c r="CR115" s="399">
        <v>-1244.6931133146863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-1814.176709029738</v>
      </c>
      <c r="DA115" s="399">
        <v>0</v>
      </c>
      <c r="DB115" s="399">
        <v>0</v>
      </c>
      <c r="DC115" s="399">
        <v>1987.9157787267759</v>
      </c>
      <c r="DD115" s="399">
        <v>0</v>
      </c>
      <c r="DE115" s="399">
        <v>0</v>
      </c>
      <c r="DF115" s="399">
        <v>0</v>
      </c>
      <c r="DG115" s="399">
        <v>236.57293328555079</v>
      </c>
      <c r="DH115" s="399">
        <v>0</v>
      </c>
      <c r="DI115" s="399">
        <v>-1431.375611731446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-188.46810322403667</v>
      </c>
      <c r="DP115" s="399">
        <v>-35.161401341808272</v>
      </c>
      <c r="DQ115" s="399">
        <v>0</v>
      </c>
      <c r="DR115" s="399">
        <v>0</v>
      </c>
      <c r="DS115" s="399"/>
      <c r="DT115" s="399"/>
      <c r="DU115" s="399"/>
      <c r="DV115" s="399">
        <v>44612.242720475988</v>
      </c>
      <c r="DW115" s="399">
        <v>0</v>
      </c>
      <c r="DX115" s="399">
        <v>0</v>
      </c>
      <c r="DY115" s="399">
        <v>-30448.085859999999</v>
      </c>
      <c r="DZ115" s="399">
        <v>1988.4317999999985</v>
      </c>
      <c r="EA115" s="399">
        <v>0</v>
      </c>
      <c r="EB115" s="399">
        <v>0</v>
      </c>
      <c r="EC115" s="399">
        <v>-27216.433972825762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227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956</v>
      </c>
      <c r="C116" s="399" t="s">
        <v>2328</v>
      </c>
      <c r="D116" s="399" t="s">
        <v>1823</v>
      </c>
      <c r="E116" s="399" t="s">
        <v>889</v>
      </c>
      <c r="F116" s="399" t="s">
        <v>2330</v>
      </c>
      <c r="G116" s="399" t="s">
        <v>1239</v>
      </c>
      <c r="H116" s="399" t="s">
        <v>1239</v>
      </c>
      <c r="I116" s="399" t="s">
        <v>1239</v>
      </c>
      <c r="J116" s="399" t="s">
        <v>2329</v>
      </c>
      <c r="K116" s="789">
        <v>44652</v>
      </c>
      <c r="L116" s="399">
        <v>0</v>
      </c>
      <c r="M116" s="399">
        <v>0</v>
      </c>
      <c r="N116" s="399">
        <v>0.3</v>
      </c>
      <c r="O116" s="399">
        <v>0.3</v>
      </c>
      <c r="P116" s="399">
        <v>0.3</v>
      </c>
      <c r="Q116" s="399">
        <v>0.3</v>
      </c>
      <c r="R116" s="399"/>
      <c r="S116" s="399">
        <v>355.1</v>
      </c>
      <c r="T116" s="399">
        <v>205.96</v>
      </c>
      <c r="U116" s="399"/>
      <c r="V116" s="399">
        <v>168.31799999999998</v>
      </c>
      <c r="W116" s="399">
        <v>168.31799999999998</v>
      </c>
      <c r="X116" s="399">
        <v>123.36599999999999</v>
      </c>
      <c r="Y116" s="399">
        <v>0</v>
      </c>
      <c r="Z116" s="399">
        <v>0</v>
      </c>
      <c r="AA116" s="399">
        <v>0</v>
      </c>
      <c r="AB116" s="399">
        <v>0</v>
      </c>
      <c r="AC116" s="399">
        <v>0</v>
      </c>
      <c r="AD116" s="399">
        <v>24.318682731855748</v>
      </c>
      <c r="AE116" s="399">
        <v>74.711523050066404</v>
      </c>
      <c r="AF116" s="399">
        <v>60.280736000027098</v>
      </c>
      <c r="AG116" s="399">
        <v>1.5085053015964709</v>
      </c>
      <c r="AH116" s="399">
        <v>0</v>
      </c>
      <c r="AI116" s="399">
        <v>0</v>
      </c>
      <c r="AJ116" s="399">
        <v>0</v>
      </c>
      <c r="AK116" s="399">
        <v>0</v>
      </c>
      <c r="AL116" s="399">
        <v>0</v>
      </c>
      <c r="AM116" s="399"/>
      <c r="AN116" s="399">
        <v>0.324585948216354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7.1737397976038997</v>
      </c>
      <c r="BH116" s="399">
        <v>0</v>
      </c>
      <c r="BI116" s="399">
        <v>0.18</v>
      </c>
      <c r="BJ116" s="399">
        <v>1.02</v>
      </c>
      <c r="BK116" s="399">
        <v>5.98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>
        <v>80.186999999999998</v>
      </c>
      <c r="BU116" s="399"/>
      <c r="BV116" s="399">
        <v>67.454475797630991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43.179000000000002</v>
      </c>
      <c r="CJ116" s="399">
        <v>-15.761999999999993</v>
      </c>
      <c r="CK116" s="399"/>
      <c r="CL116" s="399"/>
      <c r="CM116" s="399"/>
      <c r="CN116" s="399"/>
      <c r="CO116" s="399">
        <v>-48.282000000000004</v>
      </c>
      <c r="CP116" s="399">
        <v>3.3299999999999983</v>
      </c>
      <c r="CQ116" s="399">
        <v>30</v>
      </c>
      <c r="CR116" s="399">
        <v>0.62825966848036785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-3.0381773420989475</v>
      </c>
      <c r="DA116" s="399">
        <v>0</v>
      </c>
      <c r="DB116" s="399">
        <v>0</v>
      </c>
      <c r="DC116" s="399">
        <v>3.3291358261118944</v>
      </c>
      <c r="DD116" s="399">
        <v>0</v>
      </c>
      <c r="DE116" s="399">
        <v>0</v>
      </c>
      <c r="DF116" s="399">
        <v>0</v>
      </c>
      <c r="DG116" s="399">
        <v>0.39618551053191009</v>
      </c>
      <c r="DH116" s="399">
        <v>0</v>
      </c>
      <c r="DI116" s="399">
        <v>0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0</v>
      </c>
      <c r="DP116" s="399">
        <v>-5.8884326064500447E-2</v>
      </c>
      <c r="DQ116" s="399">
        <v>0</v>
      </c>
      <c r="DR116" s="399">
        <v>0</v>
      </c>
      <c r="DS116" s="399"/>
      <c r="DT116" s="399"/>
      <c r="DU116" s="399"/>
      <c r="DV116" s="399">
        <v>74.711523050066404</v>
      </c>
      <c r="DW116" s="399">
        <v>0</v>
      </c>
      <c r="DX116" s="399">
        <v>0</v>
      </c>
      <c r="DY116" s="399">
        <v>-48.282000000000004</v>
      </c>
      <c r="DZ116" s="399">
        <v>3.3299999999999983</v>
      </c>
      <c r="EA116" s="399">
        <v>0</v>
      </c>
      <c r="EB116" s="399">
        <v>0</v>
      </c>
      <c r="EC116" s="399">
        <v>-45.578996035725126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227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956</v>
      </c>
      <c r="C117" s="399" t="s">
        <v>2328</v>
      </c>
      <c r="D117" s="399" t="s">
        <v>1823</v>
      </c>
      <c r="E117" s="399" t="s">
        <v>889</v>
      </c>
      <c r="F117" s="399" t="s">
        <v>2331</v>
      </c>
      <c r="G117" s="399" t="s">
        <v>1239</v>
      </c>
      <c r="H117" s="399" t="s">
        <v>1239</v>
      </c>
      <c r="I117" s="399" t="s">
        <v>1239</v>
      </c>
      <c r="J117" s="399" t="s">
        <v>2329</v>
      </c>
      <c r="K117" s="789">
        <v>44652</v>
      </c>
      <c r="L117" s="399">
        <v>0</v>
      </c>
      <c r="M117" s="399">
        <v>0</v>
      </c>
      <c r="N117" s="399">
        <v>0.69299999999999995</v>
      </c>
      <c r="O117" s="399">
        <v>0.69299999999999995</v>
      </c>
      <c r="P117" s="399">
        <v>0.69299999999999995</v>
      </c>
      <c r="Q117" s="399">
        <v>0.69299999999999995</v>
      </c>
      <c r="R117" s="399"/>
      <c r="S117" s="399">
        <v>355.1</v>
      </c>
      <c r="T117" s="399">
        <v>205.96</v>
      </c>
      <c r="U117" s="399"/>
      <c r="V117" s="399">
        <v>388.81457999999998</v>
      </c>
      <c r="W117" s="399">
        <v>388.81457999999998</v>
      </c>
      <c r="X117" s="399">
        <v>284.97546</v>
      </c>
      <c r="Y117" s="399">
        <v>0</v>
      </c>
      <c r="Z117" s="399">
        <v>0</v>
      </c>
      <c r="AA117" s="399">
        <v>0</v>
      </c>
      <c r="AB117" s="399">
        <v>0</v>
      </c>
      <c r="AC117" s="399">
        <v>0</v>
      </c>
      <c r="AD117" s="399">
        <v>56.176157110586779</v>
      </c>
      <c r="AE117" s="399">
        <v>172.58361824565338</v>
      </c>
      <c r="AF117" s="399">
        <v>139.24850016006258</v>
      </c>
      <c r="AG117" s="399">
        <v>3.4846472466878473</v>
      </c>
      <c r="AH117" s="399">
        <v>0</v>
      </c>
      <c r="AI117" s="399">
        <v>0</v>
      </c>
      <c r="AJ117" s="399">
        <v>0</v>
      </c>
      <c r="AK117" s="399">
        <v>0</v>
      </c>
      <c r="AL117" s="399">
        <v>0</v>
      </c>
      <c r="AM117" s="399"/>
      <c r="AN117" s="399">
        <v>0.74979354037977775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16.571338932465007</v>
      </c>
      <c r="BH117" s="399">
        <v>0</v>
      </c>
      <c r="BI117" s="399">
        <v>0.88</v>
      </c>
      <c r="BJ117" s="399">
        <v>4.26</v>
      </c>
      <c r="BK117" s="399">
        <v>24.14</v>
      </c>
      <c r="BL117" s="399">
        <v>1</v>
      </c>
      <c r="BM117" s="399"/>
      <c r="BN117" s="399"/>
      <c r="BO117" s="399"/>
      <c r="BP117" s="399"/>
      <c r="BQ117" s="399"/>
      <c r="BR117" s="399"/>
      <c r="BS117" s="399"/>
      <c r="BT117" s="399">
        <v>113.98463999999998</v>
      </c>
      <c r="BU117" s="399"/>
      <c r="BV117" s="399">
        <v>155.81983909252759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170.25059999999999</v>
      </c>
      <c r="CJ117" s="399">
        <v>-63.070919999999973</v>
      </c>
      <c r="CK117" s="399"/>
      <c r="CL117" s="399"/>
      <c r="CM117" s="399"/>
      <c r="CN117" s="399"/>
      <c r="CO117" s="399">
        <v>-111.53142000000001</v>
      </c>
      <c r="CP117" s="399">
        <v>7.6922999999999959</v>
      </c>
      <c r="CQ117" s="399">
        <v>30</v>
      </c>
      <c r="CR117" s="399">
        <v>1.45127983418962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-7.0181896602485736</v>
      </c>
      <c r="DA117" s="399">
        <v>0</v>
      </c>
      <c r="DB117" s="399">
        <v>0</v>
      </c>
      <c r="DC117" s="399">
        <v>7.6903037583184926</v>
      </c>
      <c r="DD117" s="399">
        <v>0</v>
      </c>
      <c r="DE117" s="399">
        <v>0</v>
      </c>
      <c r="DF117" s="399">
        <v>0</v>
      </c>
      <c r="DG117" s="399">
        <v>0.91518852932871297</v>
      </c>
      <c r="DH117" s="399">
        <v>0</v>
      </c>
      <c r="DI117" s="399">
        <v>0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0</v>
      </c>
      <c r="DP117" s="399">
        <v>-0.13602279320899602</v>
      </c>
      <c r="DQ117" s="399">
        <v>0</v>
      </c>
      <c r="DR117" s="399">
        <v>0</v>
      </c>
      <c r="DS117" s="399"/>
      <c r="DT117" s="399"/>
      <c r="DU117" s="399"/>
      <c r="DV117" s="399">
        <v>172.58361824565338</v>
      </c>
      <c r="DW117" s="399">
        <v>0</v>
      </c>
      <c r="DX117" s="399">
        <v>0</v>
      </c>
      <c r="DY117" s="399">
        <v>-111.53142</v>
      </c>
      <c r="DZ117" s="399">
        <v>7.6922999999999888</v>
      </c>
      <c r="EA117" s="399">
        <v>0</v>
      </c>
      <c r="EB117" s="399">
        <v>0</v>
      </c>
      <c r="EC117" s="399">
        <v>-105.28748084252503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227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956</v>
      </c>
      <c r="C118" s="399" t="s">
        <v>2328</v>
      </c>
      <c r="D118" s="399" t="s">
        <v>1823</v>
      </c>
      <c r="E118" s="399" t="s">
        <v>889</v>
      </c>
      <c r="F118" s="399" t="s">
        <v>2332</v>
      </c>
      <c r="G118" s="399" t="s">
        <v>1239</v>
      </c>
      <c r="H118" s="399" t="s">
        <v>1239</v>
      </c>
      <c r="I118" s="399" t="s">
        <v>1239</v>
      </c>
      <c r="J118" s="399" t="s">
        <v>2329</v>
      </c>
      <c r="K118" s="789">
        <v>44652</v>
      </c>
      <c r="L118" s="399">
        <v>0</v>
      </c>
      <c r="M118" s="399">
        <v>0</v>
      </c>
      <c r="N118" s="399">
        <v>0.61899999999999999</v>
      </c>
      <c r="O118" s="399">
        <v>0.61899999999999999</v>
      </c>
      <c r="P118" s="399">
        <v>0.61899999999999999</v>
      </c>
      <c r="Q118" s="399">
        <v>0.61899999999999999</v>
      </c>
      <c r="R118" s="399"/>
      <c r="S118" s="399">
        <v>355.1</v>
      </c>
      <c r="T118" s="399">
        <v>205.96</v>
      </c>
      <c r="U118" s="399"/>
      <c r="V118" s="399">
        <v>347.29614000000004</v>
      </c>
      <c r="W118" s="399">
        <v>347.29614000000004</v>
      </c>
      <c r="X118" s="399">
        <v>254.54518000000002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50.177548703395701</v>
      </c>
      <c r="AE118" s="399">
        <v>154.15477589330368</v>
      </c>
      <c r="AF118" s="399">
        <v>124.37925194672258</v>
      </c>
      <c r="AG118" s="399">
        <v>3.1125492722940518</v>
      </c>
      <c r="AH118" s="399">
        <v>0</v>
      </c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0.66972900648641043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14.801816449056048</v>
      </c>
      <c r="BH118" s="399">
        <v>0</v>
      </c>
      <c r="BI118" s="399">
        <v>1.28</v>
      </c>
      <c r="BJ118" s="399">
        <v>5.74</v>
      </c>
      <c r="BK118" s="399">
        <v>53.54</v>
      </c>
      <c r="BL118" s="399">
        <v>7</v>
      </c>
      <c r="BM118" s="399"/>
      <c r="BN118" s="399"/>
      <c r="BO118" s="399"/>
      <c r="BP118" s="399"/>
      <c r="BQ118" s="399"/>
      <c r="BR118" s="399"/>
      <c r="BS118" s="399"/>
      <c r="BT118" s="399">
        <v>25.447089999999989</v>
      </c>
      <c r="BU118" s="399"/>
      <c r="BV118" s="399">
        <v>139.18106839577862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229.46820000000002</v>
      </c>
      <c r="CJ118" s="399">
        <v>-83.132039999999904</v>
      </c>
      <c r="CK118" s="399"/>
      <c r="CL118" s="399"/>
      <c r="CM118" s="399"/>
      <c r="CN118" s="399"/>
      <c r="CO118" s="399">
        <v>-99.621860000000012</v>
      </c>
      <c r="CP118" s="399">
        <v>6.8708999999999962</v>
      </c>
      <c r="CQ118" s="399">
        <v>30</v>
      </c>
      <c r="CR118" s="399">
        <v>1.2963091159644762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-6.2687725825308362</v>
      </c>
      <c r="DA118" s="399">
        <v>0</v>
      </c>
      <c r="DB118" s="399">
        <v>0</v>
      </c>
      <c r="DC118" s="399">
        <v>6.8691169212108889</v>
      </c>
      <c r="DD118" s="399">
        <v>0</v>
      </c>
      <c r="DE118" s="399">
        <v>0</v>
      </c>
      <c r="DF118" s="399">
        <v>0</v>
      </c>
      <c r="DG118" s="399">
        <v>0.81746277006417323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0</v>
      </c>
      <c r="DP118" s="399">
        <v>-0.12149799277975248</v>
      </c>
      <c r="DQ118" s="399">
        <v>0</v>
      </c>
      <c r="DR118" s="399">
        <v>0</v>
      </c>
      <c r="DS118" s="399"/>
      <c r="DT118" s="399"/>
      <c r="DU118" s="399"/>
      <c r="DV118" s="399">
        <v>154.15477589330368</v>
      </c>
      <c r="DW118" s="399">
        <v>0</v>
      </c>
      <c r="DX118" s="399">
        <v>0</v>
      </c>
      <c r="DY118" s="399">
        <v>-99.621860000000012</v>
      </c>
      <c r="DZ118" s="399">
        <v>6.8708999999999918</v>
      </c>
      <c r="EA118" s="399">
        <v>0</v>
      </c>
      <c r="EB118" s="399">
        <v>0</v>
      </c>
      <c r="EC118" s="399">
        <v>-94.044661820379503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227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956</v>
      </c>
      <c r="C119" s="399" t="s">
        <v>2328</v>
      </c>
      <c r="D119" s="399" t="s">
        <v>1823</v>
      </c>
      <c r="E119" s="399" t="s">
        <v>889</v>
      </c>
      <c r="F119" s="399" t="s">
        <v>2333</v>
      </c>
      <c r="G119" s="399" t="s">
        <v>1239</v>
      </c>
      <c r="H119" s="399" t="s">
        <v>1239</v>
      </c>
      <c r="I119" s="399" t="s">
        <v>1239</v>
      </c>
      <c r="J119" s="399" t="s">
        <v>2329</v>
      </c>
      <c r="K119" s="789">
        <v>44652</v>
      </c>
      <c r="L119" s="399">
        <v>0</v>
      </c>
      <c r="M119" s="399">
        <v>0</v>
      </c>
      <c r="N119" s="399">
        <v>0.10100000000000001</v>
      </c>
      <c r="O119" s="399">
        <v>0.10100000000000001</v>
      </c>
      <c r="P119" s="399">
        <v>0.10100000000000001</v>
      </c>
      <c r="Q119" s="399">
        <v>0.10100000000000001</v>
      </c>
      <c r="R119" s="399"/>
      <c r="S119" s="399">
        <v>355.1</v>
      </c>
      <c r="T119" s="399">
        <v>205.96</v>
      </c>
      <c r="U119" s="399"/>
      <c r="V119" s="399">
        <v>56.667060000000006</v>
      </c>
      <c r="W119" s="399">
        <v>56.667060000000006</v>
      </c>
      <c r="X119" s="399">
        <v>41.53322</v>
      </c>
      <c r="Y119" s="399">
        <v>0</v>
      </c>
      <c r="Z119" s="399">
        <v>0</v>
      </c>
      <c r="AA119" s="399">
        <v>0</v>
      </c>
      <c r="AB119" s="399">
        <v>0</v>
      </c>
      <c r="AC119" s="399">
        <v>0</v>
      </c>
      <c r="AD119" s="399">
        <v>8.187289853058104</v>
      </c>
      <c r="AE119" s="399">
        <v>25.152879426855691</v>
      </c>
      <c r="AF119" s="399">
        <v>20.294514453342458</v>
      </c>
      <c r="AG119" s="399">
        <v>0.50786345153747858</v>
      </c>
      <c r="AH119" s="399">
        <v>0</v>
      </c>
      <c r="AI119" s="399">
        <v>0</v>
      </c>
      <c r="AJ119" s="399">
        <v>0</v>
      </c>
      <c r="AK119" s="399">
        <v>0</v>
      </c>
      <c r="AL119" s="399">
        <v>0</v>
      </c>
      <c r="AM119" s="399"/>
      <c r="AN119" s="399">
        <v>0.10927726923283919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2.415159065193313</v>
      </c>
      <c r="BH119" s="399">
        <v>0</v>
      </c>
      <c r="BI119" s="399">
        <v>0.23</v>
      </c>
      <c r="BJ119" s="399">
        <v>0.96</v>
      </c>
      <c r="BK119" s="399">
        <v>15.98</v>
      </c>
      <c r="BL119" s="399">
        <v>2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22.709673518535773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41.122</v>
      </c>
      <c r="CJ119" s="399">
        <v>-15.575060000000001</v>
      </c>
      <c r="CK119" s="399"/>
      <c r="CL119" s="399"/>
      <c r="CM119" s="399"/>
      <c r="CN119" s="399"/>
      <c r="CO119" s="399">
        <v>-16.254940000000005</v>
      </c>
      <c r="CP119" s="399">
        <v>1.1210999999999995</v>
      </c>
      <c r="CQ119" s="399">
        <v>30</v>
      </c>
      <c r="CR119" s="399">
        <v>0.21151408838838748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-1.0228530385066472</v>
      </c>
      <c r="DA119" s="399">
        <v>0</v>
      </c>
      <c r="DB119" s="399">
        <v>0</v>
      </c>
      <c r="DC119" s="399">
        <v>1.1208090614576705</v>
      </c>
      <c r="DD119" s="399">
        <v>0</v>
      </c>
      <c r="DE119" s="399">
        <v>0</v>
      </c>
      <c r="DF119" s="399">
        <v>0</v>
      </c>
      <c r="DG119" s="399">
        <v>0.1333824552124101</v>
      </c>
      <c r="DH119" s="399">
        <v>0</v>
      </c>
      <c r="DI119" s="399">
        <v>0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0</v>
      </c>
      <c r="DP119" s="399">
        <v>-1.9824389775048482E-2</v>
      </c>
      <c r="DQ119" s="399">
        <v>0</v>
      </c>
      <c r="DR119" s="399">
        <v>0</v>
      </c>
      <c r="DS119" s="399"/>
      <c r="DT119" s="399"/>
      <c r="DU119" s="399"/>
      <c r="DV119" s="399">
        <v>25.152879426855691</v>
      </c>
      <c r="DW119" s="399">
        <v>0</v>
      </c>
      <c r="DX119" s="399">
        <v>0</v>
      </c>
      <c r="DY119" s="399">
        <v>-16.254940000000005</v>
      </c>
      <c r="DZ119" s="399">
        <v>1.121100000000002</v>
      </c>
      <c r="EA119" s="399">
        <v>0</v>
      </c>
      <c r="EB119" s="399">
        <v>0</v>
      </c>
      <c r="EC119" s="399">
        <v>-15.344928665360793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227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956</v>
      </c>
      <c r="C120" s="399" t="s">
        <v>2328</v>
      </c>
      <c r="D120" s="399" t="s">
        <v>1826</v>
      </c>
      <c r="E120" s="399" t="s">
        <v>890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2329</v>
      </c>
      <c r="K120" s="789">
        <v>44652</v>
      </c>
      <c r="L120" s="399">
        <v>0</v>
      </c>
      <c r="M120" s="399">
        <v>0</v>
      </c>
      <c r="N120" s="399">
        <v>57.697000000000003</v>
      </c>
      <c r="O120" s="399">
        <v>57.697000000000003</v>
      </c>
      <c r="P120" s="399">
        <v>57.697000000000003</v>
      </c>
      <c r="Q120" s="399">
        <v>57.697000000000003</v>
      </c>
      <c r="R120" s="399"/>
      <c r="S120" s="399">
        <v>425.49</v>
      </c>
      <c r="T120" s="399">
        <v>205.96</v>
      </c>
      <c r="U120" s="399"/>
      <c r="V120" s="399">
        <v>36432.770650000006</v>
      </c>
      <c r="W120" s="399">
        <v>36432.770650000006</v>
      </c>
      <c r="X120" s="399">
        <v>27266.448260000001</v>
      </c>
      <c r="Y120" s="399">
        <v>0</v>
      </c>
      <c r="Z120" s="399">
        <v>3518.0228638163167</v>
      </c>
      <c r="AA120" s="399">
        <v>0</v>
      </c>
      <c r="AB120" s="399">
        <v>0</v>
      </c>
      <c r="AC120" s="399">
        <v>0</v>
      </c>
      <c r="AD120" s="399">
        <v>4677.0501252662707</v>
      </c>
      <c r="AE120" s="399">
        <v>14368.769151398938</v>
      </c>
      <c r="AF120" s="399">
        <v>11593.392083311879</v>
      </c>
      <c r="AG120" s="399">
        <v>290.12076795403863</v>
      </c>
      <c r="AH120" s="399">
        <v>0</v>
      </c>
      <c r="AI120" s="399">
        <v>0</v>
      </c>
      <c r="AJ120" s="399">
        <v>0</v>
      </c>
      <c r="AK120" s="399">
        <v>0</v>
      </c>
      <c r="AL120" s="399">
        <v>543.68868451768515</v>
      </c>
      <c r="AM120" s="399"/>
      <c r="AN120" s="399">
        <v>62.425451514129932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1379.6775503411741</v>
      </c>
      <c r="BH120" s="399">
        <v>0</v>
      </c>
      <c r="BI120" s="399">
        <v>202.12</v>
      </c>
      <c r="BJ120" s="399">
        <v>927.99</v>
      </c>
      <c r="BK120" s="399">
        <v>12196.24</v>
      </c>
      <c r="BL120" s="399">
        <v>41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12973.069633653053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27267.866000000002</v>
      </c>
      <c r="CJ120" s="399">
        <v>-9164.9346499999956</v>
      </c>
      <c r="CK120" s="399"/>
      <c r="CL120" s="399"/>
      <c r="CM120" s="399"/>
      <c r="CN120" s="399"/>
      <c r="CO120" s="399">
        <v>-9806.7590899999996</v>
      </c>
      <c r="CP120" s="399">
        <v>640.43669999999975</v>
      </c>
      <c r="CQ120" s="399">
        <v>30</v>
      </c>
      <c r="CR120" s="399">
        <v>-400.89237659747596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-584.31239369027662</v>
      </c>
      <c r="DA120" s="399">
        <v>0</v>
      </c>
      <c r="DB120" s="399">
        <v>0</v>
      </c>
      <c r="DC120" s="399">
        <v>640.27049919726051</v>
      </c>
      <c r="DD120" s="399">
        <v>0</v>
      </c>
      <c r="DE120" s="399">
        <v>0</v>
      </c>
      <c r="DF120" s="399">
        <v>0</v>
      </c>
      <c r="DG120" s="399">
        <v>76.195718003865522</v>
      </c>
      <c r="DH120" s="399">
        <v>0</v>
      </c>
      <c r="DI120" s="399">
        <v>-461.01931845878198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-60.702051779729914</v>
      </c>
      <c r="DP120" s="399">
        <v>-11.324829869811609</v>
      </c>
      <c r="DQ120" s="399">
        <v>0</v>
      </c>
      <c r="DR120" s="399">
        <v>0</v>
      </c>
      <c r="DS120" s="399"/>
      <c r="DT120" s="399"/>
      <c r="DU120" s="399"/>
      <c r="DV120" s="399">
        <v>14368.769151398938</v>
      </c>
      <c r="DW120" s="399">
        <v>0</v>
      </c>
      <c r="DX120" s="399">
        <v>0</v>
      </c>
      <c r="DY120" s="399">
        <v>-9806.7590899999996</v>
      </c>
      <c r="DZ120" s="399">
        <v>640.43669999999838</v>
      </c>
      <c r="EA120" s="399">
        <v>0</v>
      </c>
      <c r="EB120" s="399">
        <v>0</v>
      </c>
      <c r="EC120" s="399">
        <v>-8765.9044475774426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227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956</v>
      </c>
      <c r="C121" s="399" t="s">
        <v>2334</v>
      </c>
      <c r="D121" s="399" t="s">
        <v>533</v>
      </c>
      <c r="E121" s="399" t="s">
        <v>890</v>
      </c>
      <c r="F121" s="399" t="s">
        <v>1239</v>
      </c>
      <c r="G121" s="399" t="s">
        <v>1239</v>
      </c>
      <c r="H121" s="399" t="s">
        <v>1239</v>
      </c>
      <c r="I121" s="399" t="s">
        <v>893</v>
      </c>
      <c r="J121" s="399" t="s">
        <v>2329</v>
      </c>
      <c r="K121" s="789">
        <v>44652</v>
      </c>
      <c r="L121" s="399">
        <v>0</v>
      </c>
      <c r="M121" s="399">
        <v>0</v>
      </c>
      <c r="N121" s="399">
        <v>17.149999999999999</v>
      </c>
      <c r="O121" s="399">
        <v>17.149999999999999</v>
      </c>
      <c r="P121" s="399">
        <v>17.149999999999999</v>
      </c>
      <c r="Q121" s="399">
        <v>17.149999999999999</v>
      </c>
      <c r="R121" s="399"/>
      <c r="S121" s="399">
        <v>2109.83</v>
      </c>
      <c r="T121" s="399">
        <v>205.96</v>
      </c>
      <c r="U121" s="399"/>
      <c r="V121" s="399">
        <v>39715.798499999997</v>
      </c>
      <c r="W121" s="399">
        <v>39715.798499999997</v>
      </c>
      <c r="X121" s="399">
        <v>23436.504000000001</v>
      </c>
      <c r="Y121" s="399">
        <v>0</v>
      </c>
      <c r="Z121" s="399">
        <v>909.76411493788828</v>
      </c>
      <c r="AA121" s="399">
        <v>0</v>
      </c>
      <c r="AB121" s="399">
        <v>0</v>
      </c>
      <c r="AC121" s="399">
        <v>0</v>
      </c>
      <c r="AD121" s="399">
        <v>10262.149322782709</v>
      </c>
      <c r="AE121" s="399">
        <v>24681.077681875333</v>
      </c>
      <c r="AF121" s="399">
        <v>3446.0487413348824</v>
      </c>
      <c r="AG121" s="399">
        <v>86.236219741264918</v>
      </c>
      <c r="AH121" s="399">
        <v>0</v>
      </c>
      <c r="AI121" s="399">
        <v>0</v>
      </c>
      <c r="AJ121" s="399">
        <v>0</v>
      </c>
      <c r="AK121" s="399">
        <v>0</v>
      </c>
      <c r="AL121" s="399">
        <v>161.60737888414127</v>
      </c>
      <c r="AM121" s="399"/>
      <c r="AN121" s="399">
        <v>10.589656442132034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158.33785255687732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3604.3865938917597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23436.504000000001</v>
      </c>
      <c r="CJ121" s="399">
        <v>-16279.324500000002</v>
      </c>
      <c r="CK121" s="399"/>
      <c r="CL121" s="399"/>
      <c r="CM121" s="399"/>
      <c r="CN121" s="399"/>
      <c r="CO121" s="399">
        <v>-16469.659499999998</v>
      </c>
      <c r="CP121" s="399">
        <v>190.3649999999999</v>
      </c>
      <c r="CQ121" s="399">
        <v>30</v>
      </c>
      <c r="CR121" s="399">
        <v>-1222.1932383359363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-1282.0690124335197</v>
      </c>
      <c r="DA121" s="399">
        <v>0</v>
      </c>
      <c r="DB121" s="399">
        <v>0</v>
      </c>
      <c r="DC121" s="399">
        <v>190.31559805939651</v>
      </c>
      <c r="DD121" s="399">
        <v>0</v>
      </c>
      <c r="DE121" s="399">
        <v>0</v>
      </c>
      <c r="DF121" s="399">
        <v>0</v>
      </c>
      <c r="DG121" s="399">
        <v>8.7445551025871282</v>
      </c>
      <c r="DH121" s="399">
        <v>0</v>
      </c>
      <c r="DI121" s="399">
        <v>-119.22004161506209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-18.043229076422818</v>
      </c>
      <c r="DP121" s="399">
        <v>-1.9211083729166933</v>
      </c>
      <c r="DQ121" s="399">
        <v>0</v>
      </c>
      <c r="DR121" s="399">
        <v>0</v>
      </c>
      <c r="DS121" s="399"/>
      <c r="DT121" s="399"/>
      <c r="DU121" s="399"/>
      <c r="DV121" s="399">
        <v>24681.077681875333</v>
      </c>
      <c r="DW121" s="399">
        <v>0</v>
      </c>
      <c r="DX121" s="399">
        <v>0</v>
      </c>
      <c r="DY121" s="399">
        <v>-16469.659499999998</v>
      </c>
      <c r="DZ121" s="399">
        <v>190.36499999999978</v>
      </c>
      <c r="EA121" s="399">
        <v>0</v>
      </c>
      <c r="EB121" s="399">
        <v>0</v>
      </c>
      <c r="EC121" s="399">
        <v>-15057.098234575715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227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956</v>
      </c>
      <c r="C122" s="399" t="s">
        <v>2334</v>
      </c>
      <c r="D122" s="399" t="s">
        <v>533</v>
      </c>
      <c r="E122" s="399" t="s">
        <v>890</v>
      </c>
      <c r="F122" s="399" t="s">
        <v>1239</v>
      </c>
      <c r="G122" s="399" t="s">
        <v>1239</v>
      </c>
      <c r="H122" s="399" t="s">
        <v>1239</v>
      </c>
      <c r="I122" s="399" t="s">
        <v>2326</v>
      </c>
      <c r="J122" s="399" t="s">
        <v>2329</v>
      </c>
      <c r="K122" s="789">
        <v>44652</v>
      </c>
      <c r="L122" s="399">
        <v>0</v>
      </c>
      <c r="M122" s="399">
        <v>0</v>
      </c>
      <c r="N122" s="399">
        <v>355.82</v>
      </c>
      <c r="O122" s="399">
        <v>355.82</v>
      </c>
      <c r="P122" s="399">
        <v>355.82</v>
      </c>
      <c r="Q122" s="399">
        <v>355.82</v>
      </c>
      <c r="R122" s="399"/>
      <c r="S122" s="399">
        <v>72.319999999999993</v>
      </c>
      <c r="T122" s="399">
        <v>205.96</v>
      </c>
      <c r="U122" s="399"/>
      <c r="V122" s="399">
        <v>99017.589599999992</v>
      </c>
      <c r="W122" s="399">
        <v>99017.589599999992</v>
      </c>
      <c r="X122" s="399">
        <v>100259.4014</v>
      </c>
      <c r="Y122" s="399">
        <v>0</v>
      </c>
      <c r="Z122" s="399">
        <v>18875.350867475187</v>
      </c>
      <c r="AA122" s="399">
        <v>0</v>
      </c>
      <c r="AB122" s="399">
        <v>0</v>
      </c>
      <c r="AC122" s="399">
        <v>0</v>
      </c>
      <c r="AD122" s="399">
        <v>0</v>
      </c>
      <c r="AE122" s="399">
        <v>0</v>
      </c>
      <c r="AF122" s="399">
        <v>71496.971611765475</v>
      </c>
      <c r="AG122" s="399">
        <v>1789.1878547135209</v>
      </c>
      <c r="AH122" s="399">
        <v>0</v>
      </c>
      <c r="AI122" s="399">
        <v>0</v>
      </c>
      <c r="AJ122" s="399">
        <v>0</v>
      </c>
      <c r="AK122" s="399">
        <v>0</v>
      </c>
      <c r="AL122" s="399">
        <v>3352.9526270877636</v>
      </c>
      <c r="AM122" s="399"/>
      <c r="AN122" s="399">
        <v>219.70912858538892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3285.1180581217545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74782.089669887224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100259.4014</v>
      </c>
      <c r="CJ122" s="399">
        <v>1241.7818000000116</v>
      </c>
      <c r="CK122" s="399"/>
      <c r="CL122" s="399"/>
      <c r="CM122" s="399"/>
      <c r="CN122" s="399"/>
      <c r="CO122" s="399">
        <v>-2707.7901999999999</v>
      </c>
      <c r="CP122" s="399">
        <v>3949.601999999998</v>
      </c>
      <c r="CQ122" s="399">
        <v>30</v>
      </c>
      <c r="CR122" s="399">
        <v>1242.2739323266578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0</v>
      </c>
      <c r="DA122" s="399">
        <v>0</v>
      </c>
      <c r="DB122" s="399">
        <v>0</v>
      </c>
      <c r="DC122" s="399">
        <v>3948.5770321571181</v>
      </c>
      <c r="DD122" s="399">
        <v>0</v>
      </c>
      <c r="DE122" s="399">
        <v>0</v>
      </c>
      <c r="DF122" s="399">
        <v>0</v>
      </c>
      <c r="DG122" s="399">
        <v>181.42784819839926</v>
      </c>
      <c r="DH122" s="399">
        <v>0</v>
      </c>
      <c r="DI122" s="399">
        <v>-2473.5204202607238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-374.35228979433032</v>
      </c>
      <c r="DP122" s="399">
        <v>-39.858237973831905</v>
      </c>
      <c r="DQ122" s="399">
        <v>0</v>
      </c>
      <c r="DR122" s="399">
        <v>0</v>
      </c>
      <c r="DS122" s="399"/>
      <c r="DT122" s="399"/>
      <c r="DU122" s="399"/>
      <c r="DV122" s="399">
        <v>0</v>
      </c>
      <c r="DW122" s="399">
        <v>0</v>
      </c>
      <c r="DX122" s="399">
        <v>0</v>
      </c>
      <c r="DY122" s="399">
        <v>-2707.7901999999995</v>
      </c>
      <c r="DZ122" s="399">
        <v>3949.601999999999</v>
      </c>
      <c r="EA122" s="399">
        <v>0</v>
      </c>
      <c r="EB122" s="399">
        <v>0</v>
      </c>
      <c r="EC122" s="399">
        <v>0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227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956</v>
      </c>
      <c r="C123" s="399" t="s">
        <v>2334</v>
      </c>
      <c r="D123" s="399" t="s">
        <v>533</v>
      </c>
      <c r="E123" s="399" t="s">
        <v>890</v>
      </c>
      <c r="F123" s="399" t="s">
        <v>1239</v>
      </c>
      <c r="G123" s="399" t="s">
        <v>1239</v>
      </c>
      <c r="H123" s="399" t="s">
        <v>1239</v>
      </c>
      <c r="I123" s="399" t="s">
        <v>1239</v>
      </c>
      <c r="J123" s="399" t="s">
        <v>2329</v>
      </c>
      <c r="K123" s="789">
        <v>44652</v>
      </c>
      <c r="L123" s="399">
        <v>2327</v>
      </c>
      <c r="M123" s="399">
        <v>2327</v>
      </c>
      <c r="N123" s="399">
        <v>0</v>
      </c>
      <c r="O123" s="399">
        <v>0</v>
      </c>
      <c r="P123" s="399">
        <v>0</v>
      </c>
      <c r="Q123" s="399">
        <v>0</v>
      </c>
      <c r="R123" s="399">
        <v>26.79</v>
      </c>
      <c r="S123" s="399"/>
      <c r="T123" s="399"/>
      <c r="U123" s="399">
        <v>62340.329999999994</v>
      </c>
      <c r="V123" s="399"/>
      <c r="W123" s="399">
        <v>62340.329999999994</v>
      </c>
      <c r="X123" s="399">
        <v>35672.910000000003</v>
      </c>
      <c r="Y123" s="399">
        <v>0</v>
      </c>
      <c r="Z123" s="399">
        <v>0</v>
      </c>
      <c r="AA123" s="399">
        <v>0</v>
      </c>
      <c r="AB123" s="399">
        <v>0</v>
      </c>
      <c r="AC123" s="399">
        <v>0</v>
      </c>
      <c r="AD123" s="399">
        <v>23438.900714603009</v>
      </c>
      <c r="AE123" s="399">
        <v>38909.389597618618</v>
      </c>
      <c r="AF123" s="399"/>
      <c r="AG123" s="399"/>
      <c r="AH123" s="399"/>
      <c r="AI123" s="399">
        <v>0</v>
      </c>
      <c r="AJ123" s="399">
        <v>0</v>
      </c>
      <c r="AK123" s="399">
        <v>0</v>
      </c>
      <c r="AL123" s="399">
        <v>0</v>
      </c>
      <c r="AM123" s="399"/>
      <c r="AN123" s="399">
        <v>0</v>
      </c>
      <c r="AO123" s="399">
        <v>0</v>
      </c>
      <c r="AP123" s="399">
        <v>0</v>
      </c>
      <c r="AQ123" s="399">
        <v>0</v>
      </c>
      <c r="AR123" s="399">
        <v>0</v>
      </c>
      <c r="AS123" s="399"/>
      <c r="AT123" s="399"/>
      <c r="AU123" s="399">
        <v>0</v>
      </c>
      <c r="AV123" s="399">
        <v>0</v>
      </c>
      <c r="AW123" s="399">
        <v>0</v>
      </c>
      <c r="AX123" s="399"/>
      <c r="AY123" s="399"/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/>
      <c r="BG123" s="399">
        <v>0</v>
      </c>
      <c r="BH123" s="399">
        <v>0</v>
      </c>
      <c r="BI123" s="399">
        <v>862.5</v>
      </c>
      <c r="BJ123" s="399">
        <v>3939.18</v>
      </c>
      <c r="BK123" s="399">
        <v>64334.54</v>
      </c>
      <c r="BL123" s="399">
        <v>12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0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35672.910000000003</v>
      </c>
      <c r="CJ123" s="399">
        <v>-26667.449999999997</v>
      </c>
      <c r="CK123" s="399"/>
      <c r="CL123" s="399"/>
      <c r="CM123" s="399"/>
      <c r="CN123" s="399"/>
      <c r="CO123" s="399">
        <v>-26667.42</v>
      </c>
      <c r="CP123" s="399">
        <v>0</v>
      </c>
      <c r="CQ123" s="399">
        <v>30</v>
      </c>
      <c r="CR123" s="399">
        <v>-2928.264571729178</v>
      </c>
      <c r="CS123" s="399">
        <v>0</v>
      </c>
      <c r="CT123" s="399">
        <v>0</v>
      </c>
      <c r="CU123" s="399">
        <v>0</v>
      </c>
      <c r="CV123" s="399">
        <v>0</v>
      </c>
      <c r="CW123" s="399"/>
      <c r="CX123" s="399"/>
      <c r="CY123" s="399"/>
      <c r="CZ123" s="399">
        <v>-2928.264571729178</v>
      </c>
      <c r="DA123" s="399">
        <v>0</v>
      </c>
      <c r="DB123" s="399">
        <v>0</v>
      </c>
      <c r="DC123" s="399"/>
      <c r="DD123" s="399"/>
      <c r="DE123" s="399">
        <v>0</v>
      </c>
      <c r="DF123" s="399">
        <v>0</v>
      </c>
      <c r="DG123" s="399">
        <v>0</v>
      </c>
      <c r="DH123" s="399">
        <v>0</v>
      </c>
      <c r="DI123" s="399">
        <v>0</v>
      </c>
      <c r="DJ123" s="399"/>
      <c r="DK123" s="399">
        <v>0</v>
      </c>
      <c r="DL123" s="399">
        <v>0</v>
      </c>
      <c r="DM123" s="399"/>
      <c r="DN123" s="399">
        <v>0</v>
      </c>
      <c r="DO123" s="399">
        <v>0</v>
      </c>
      <c r="DP123" s="399">
        <v>0</v>
      </c>
      <c r="DQ123" s="399">
        <v>0</v>
      </c>
      <c r="DR123" s="399">
        <v>0</v>
      </c>
      <c r="DS123" s="399"/>
      <c r="DT123" s="399"/>
      <c r="DU123" s="399">
        <v>38909.389597618618</v>
      </c>
      <c r="DV123" s="399"/>
      <c r="DW123" s="399">
        <v>0</v>
      </c>
      <c r="DX123" s="399">
        <v>0</v>
      </c>
      <c r="DY123" s="399">
        <v>-26667.419999999991</v>
      </c>
      <c r="DZ123" s="399"/>
      <c r="EA123" s="399">
        <v>0</v>
      </c>
      <c r="EB123" s="399"/>
      <c r="EC123" s="399">
        <v>-23737.314430518345</v>
      </c>
      <c r="ED123" s="399"/>
      <c r="EE123" s="399">
        <v>0</v>
      </c>
      <c r="EF123" s="399">
        <v>0</v>
      </c>
      <c r="EG123" s="399"/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/>
      <c r="EN123" s="399"/>
      <c r="EO123" s="399">
        <v>0</v>
      </c>
      <c r="EP123" s="399">
        <v>0</v>
      </c>
      <c r="EQ123" s="399"/>
      <c r="ER123" s="399">
        <v>0</v>
      </c>
      <c r="ES123" s="399"/>
      <c r="ET123" s="399">
        <v>0</v>
      </c>
      <c r="EU123" s="399"/>
      <c r="EV123" s="399">
        <v>227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956</v>
      </c>
      <c r="C124" s="399" t="s">
        <v>2328</v>
      </c>
      <c r="D124" s="399" t="s">
        <v>1826</v>
      </c>
      <c r="E124" s="399" t="s">
        <v>918</v>
      </c>
      <c r="F124" s="399" t="s">
        <v>1239</v>
      </c>
      <c r="G124" s="399" t="s">
        <v>1239</v>
      </c>
      <c r="H124" s="399" t="s">
        <v>1239</v>
      </c>
      <c r="I124" s="399" t="s">
        <v>1239</v>
      </c>
      <c r="J124" s="399" t="s">
        <v>2329</v>
      </c>
      <c r="K124" s="789">
        <v>44652</v>
      </c>
      <c r="L124" s="399">
        <v>0</v>
      </c>
      <c r="M124" s="399">
        <v>0</v>
      </c>
      <c r="N124" s="399">
        <v>14.061</v>
      </c>
      <c r="O124" s="399">
        <v>14.061</v>
      </c>
      <c r="P124" s="399">
        <v>14.061</v>
      </c>
      <c r="Q124" s="399">
        <v>14.061</v>
      </c>
      <c r="R124" s="399"/>
      <c r="S124" s="399">
        <v>425.49</v>
      </c>
      <c r="T124" s="399">
        <v>205.96</v>
      </c>
      <c r="U124" s="399"/>
      <c r="V124" s="399">
        <v>8878.8184499999988</v>
      </c>
      <c r="W124" s="399">
        <v>8878.8184499999988</v>
      </c>
      <c r="X124" s="399">
        <v>6644.9473799999996</v>
      </c>
      <c r="Y124" s="399">
        <v>0</v>
      </c>
      <c r="Z124" s="399">
        <v>857.35687276844942</v>
      </c>
      <c r="AA124" s="399">
        <v>0</v>
      </c>
      <c r="AB124" s="399">
        <v>0</v>
      </c>
      <c r="AC124" s="399">
        <v>0</v>
      </c>
      <c r="AD124" s="399">
        <v>1139.816659642079</v>
      </c>
      <c r="AE124" s="399">
        <v>3501.7290853566124</v>
      </c>
      <c r="AF124" s="399">
        <v>2825.3580963212703</v>
      </c>
      <c r="AG124" s="399">
        <v>70.703643485826589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132.499204343435</v>
      </c>
      <c r="AM124" s="399"/>
      <c r="AN124" s="399">
        <v>15.213343392900514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336.23318431369478</v>
      </c>
      <c r="BH124" s="399">
        <v>0</v>
      </c>
      <c r="BI124" s="399">
        <v>62.84</v>
      </c>
      <c r="BJ124" s="399">
        <v>290.07</v>
      </c>
      <c r="BK124" s="399">
        <v>2963.42</v>
      </c>
      <c r="BL124" s="399">
        <v>54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3161.5912806349652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6644.4748</v>
      </c>
      <c r="CJ124" s="399">
        <v>-2234.3736499999995</v>
      </c>
      <c r="CK124" s="399"/>
      <c r="CL124" s="399"/>
      <c r="CM124" s="399"/>
      <c r="CN124" s="399"/>
      <c r="CO124" s="399">
        <v>-2389.9481700000001</v>
      </c>
      <c r="CP124" s="399">
        <v>156.07709999999992</v>
      </c>
      <c r="CQ124" s="399">
        <v>30</v>
      </c>
      <c r="CR124" s="399">
        <v>-97.699147396520857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-142.39937202417775</v>
      </c>
      <c r="DA124" s="399">
        <v>0</v>
      </c>
      <c r="DB124" s="399">
        <v>0</v>
      </c>
      <c r="DC124" s="399">
        <v>156.03659616986442</v>
      </c>
      <c r="DD124" s="399">
        <v>0</v>
      </c>
      <c r="DE124" s="399">
        <v>0</v>
      </c>
      <c r="DF124" s="399">
        <v>0</v>
      </c>
      <c r="DG124" s="399">
        <v>18.569214878630646</v>
      </c>
      <c r="DH124" s="399">
        <v>0</v>
      </c>
      <c r="DI124" s="399">
        <v>-112.35233438218518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-14.793343676010551</v>
      </c>
      <c r="DP124" s="399">
        <v>-2.7599083626431362</v>
      </c>
      <c r="DQ124" s="399">
        <v>0</v>
      </c>
      <c r="DR124" s="399">
        <v>0</v>
      </c>
      <c r="DS124" s="399"/>
      <c r="DT124" s="399"/>
      <c r="DU124" s="399"/>
      <c r="DV124" s="399">
        <v>3501.7290853566124</v>
      </c>
      <c r="DW124" s="399">
        <v>0</v>
      </c>
      <c r="DX124" s="399">
        <v>0</v>
      </c>
      <c r="DY124" s="399">
        <v>-2389.9481699999997</v>
      </c>
      <c r="DZ124" s="399">
        <v>156.07709999999997</v>
      </c>
      <c r="EA124" s="399">
        <v>0</v>
      </c>
      <c r="EB124" s="399">
        <v>0</v>
      </c>
      <c r="EC124" s="399">
        <v>-2136.2875441944366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227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956</v>
      </c>
      <c r="C125" s="399" t="s">
        <v>2328</v>
      </c>
      <c r="D125" s="399" t="s">
        <v>2335</v>
      </c>
      <c r="E125" s="399" t="s">
        <v>894</v>
      </c>
      <c r="F125" s="399" t="s">
        <v>1239</v>
      </c>
      <c r="G125" s="399" t="s">
        <v>1239</v>
      </c>
      <c r="H125" s="399" t="s">
        <v>1239</v>
      </c>
      <c r="I125" s="399" t="s">
        <v>1239</v>
      </c>
      <c r="J125" s="399" t="s">
        <v>2329</v>
      </c>
      <c r="K125" s="789">
        <v>44652</v>
      </c>
      <c r="L125" s="399">
        <v>0</v>
      </c>
      <c r="M125" s="399">
        <v>0</v>
      </c>
      <c r="N125" s="399">
        <v>58.811</v>
      </c>
      <c r="O125" s="399">
        <v>58.811</v>
      </c>
      <c r="P125" s="399">
        <v>58.811</v>
      </c>
      <c r="Q125" s="399">
        <v>58.811</v>
      </c>
      <c r="R125" s="399"/>
      <c r="S125" s="399">
        <v>425.49</v>
      </c>
      <c r="T125" s="399">
        <v>205.96</v>
      </c>
      <c r="U125" s="399"/>
      <c r="V125" s="399">
        <v>37136.205950000003</v>
      </c>
      <c r="W125" s="399">
        <v>37136.205950000003</v>
      </c>
      <c r="X125" s="399">
        <v>27792.90238</v>
      </c>
      <c r="Y125" s="399">
        <v>0</v>
      </c>
      <c r="Z125" s="399">
        <v>3585.948015389039</v>
      </c>
      <c r="AA125" s="399">
        <v>0</v>
      </c>
      <c r="AB125" s="399">
        <v>0</v>
      </c>
      <c r="AC125" s="399">
        <v>0</v>
      </c>
      <c r="AD125" s="399">
        <v>4767.3535004772284</v>
      </c>
      <c r="AE125" s="399">
        <v>14646.197940324852</v>
      </c>
      <c r="AF125" s="399">
        <v>11817.234549658646</v>
      </c>
      <c r="AG125" s="399">
        <v>295.72235097396685</v>
      </c>
      <c r="AH125" s="399">
        <v>0</v>
      </c>
      <c r="AI125" s="399">
        <v>0</v>
      </c>
      <c r="AJ125" s="399">
        <v>0</v>
      </c>
      <c r="AK125" s="399">
        <v>0</v>
      </c>
      <c r="AL125" s="399">
        <v>554.18609676706899</v>
      </c>
      <c r="AM125" s="399"/>
      <c r="AN125" s="399">
        <v>63.630747335173325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1406.3160374562765</v>
      </c>
      <c r="BH125" s="399">
        <v>0</v>
      </c>
      <c r="BI125" s="399">
        <v>128.46</v>
      </c>
      <c r="BJ125" s="399">
        <v>592.32000000000005</v>
      </c>
      <c r="BK125" s="399">
        <v>5032.04</v>
      </c>
      <c r="BL125" s="399">
        <v>242</v>
      </c>
      <c r="BM125" s="399"/>
      <c r="BN125" s="399"/>
      <c r="BO125" s="399"/>
      <c r="BP125" s="399"/>
      <c r="BQ125" s="399"/>
      <c r="BR125" s="399">
        <v>3335.7599200000013</v>
      </c>
      <c r="BS125" s="399"/>
      <c r="BT125" s="399"/>
      <c r="BU125" s="399"/>
      <c r="BV125" s="399">
        <v>13223.550587114922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24456.726600000002</v>
      </c>
      <c r="CJ125" s="399">
        <v>-8223.3998799999936</v>
      </c>
      <c r="CK125" s="399"/>
      <c r="CL125" s="399"/>
      <c r="CM125" s="399"/>
      <c r="CN125" s="399"/>
      <c r="CO125" s="399">
        <v>-9996.1056700000008</v>
      </c>
      <c r="CP125" s="399">
        <v>652.80209999999965</v>
      </c>
      <c r="CQ125" s="399">
        <v>30</v>
      </c>
      <c r="CR125" s="399">
        <v>-408.63271158074349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-595.59415888727108</v>
      </c>
      <c r="DA125" s="399">
        <v>0</v>
      </c>
      <c r="DB125" s="399">
        <v>0</v>
      </c>
      <c r="DC125" s="399">
        <v>652.6326902315559</v>
      </c>
      <c r="DD125" s="399">
        <v>0</v>
      </c>
      <c r="DE125" s="399">
        <v>0</v>
      </c>
      <c r="DF125" s="399">
        <v>0</v>
      </c>
      <c r="DG125" s="399">
        <v>77.666886866307323</v>
      </c>
      <c r="DH125" s="399">
        <v>0</v>
      </c>
      <c r="DI125" s="399">
        <v>-469.92057018353535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-61.874072607201356</v>
      </c>
      <c r="DP125" s="399">
        <v>-11.543487000597786</v>
      </c>
      <c r="DQ125" s="399">
        <v>0</v>
      </c>
      <c r="DR125" s="399">
        <v>0</v>
      </c>
      <c r="DS125" s="399"/>
      <c r="DT125" s="399"/>
      <c r="DU125" s="399"/>
      <c r="DV125" s="399">
        <v>14646.197940324852</v>
      </c>
      <c r="DW125" s="399">
        <v>0</v>
      </c>
      <c r="DX125" s="399">
        <v>0</v>
      </c>
      <c r="DY125" s="399">
        <v>-9996.105669999999</v>
      </c>
      <c r="DZ125" s="399">
        <v>652.80210000000079</v>
      </c>
      <c r="EA125" s="399">
        <v>0</v>
      </c>
      <c r="EB125" s="399">
        <v>0</v>
      </c>
      <c r="EC125" s="399">
        <v>-8935.1544528567683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227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956</v>
      </c>
      <c r="C126" s="399" t="s">
        <v>2328</v>
      </c>
      <c r="D126" s="399" t="s">
        <v>1826</v>
      </c>
      <c r="E126" s="399" t="s">
        <v>2336</v>
      </c>
      <c r="F126" s="399" t="s">
        <v>1239</v>
      </c>
      <c r="G126" s="399" t="s">
        <v>1239</v>
      </c>
      <c r="H126" s="399" t="s">
        <v>1239</v>
      </c>
      <c r="I126" s="399" t="s">
        <v>1239</v>
      </c>
      <c r="J126" s="399" t="s">
        <v>2329</v>
      </c>
      <c r="K126" s="789">
        <v>44652</v>
      </c>
      <c r="L126" s="399">
        <v>0</v>
      </c>
      <c r="M126" s="399">
        <v>0</v>
      </c>
      <c r="N126" s="399">
        <v>3.2959999999999998</v>
      </c>
      <c r="O126" s="399">
        <v>3.2959999999999998</v>
      </c>
      <c r="P126" s="399">
        <v>3.2959999999999998</v>
      </c>
      <c r="Q126" s="399">
        <v>3.2959999999999998</v>
      </c>
      <c r="R126" s="399"/>
      <c r="S126" s="399">
        <v>425.49</v>
      </c>
      <c r="T126" s="399">
        <v>205.96</v>
      </c>
      <c r="U126" s="399"/>
      <c r="V126" s="399">
        <v>2081.2592</v>
      </c>
      <c r="W126" s="399">
        <v>2081.2592</v>
      </c>
      <c r="X126" s="399">
        <v>1557.6236799999999</v>
      </c>
      <c r="Y126" s="399">
        <v>0</v>
      </c>
      <c r="Z126" s="399">
        <v>200.9706459458651</v>
      </c>
      <c r="AA126" s="399">
        <v>0</v>
      </c>
      <c r="AB126" s="399">
        <v>0</v>
      </c>
      <c r="AC126" s="399">
        <v>0</v>
      </c>
      <c r="AD126" s="399">
        <v>267.18126094732185</v>
      </c>
      <c r="AE126" s="399">
        <v>820.8305999100628</v>
      </c>
      <c r="AF126" s="399">
        <v>662.28435285363105</v>
      </c>
      <c r="AG126" s="399">
        <v>16.573444913539891</v>
      </c>
      <c r="AH126" s="399">
        <v>0</v>
      </c>
      <c r="AI126" s="399">
        <v>0</v>
      </c>
      <c r="AJ126" s="399">
        <v>0</v>
      </c>
      <c r="AK126" s="399">
        <v>0</v>
      </c>
      <c r="AL126" s="399">
        <v>31.058770892252454</v>
      </c>
      <c r="AM126" s="399"/>
      <c r="AN126" s="399">
        <v>3.5661176177370093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78.815487909674843</v>
      </c>
      <c r="BH126" s="399">
        <v>0</v>
      </c>
      <c r="BI126" s="399">
        <v>18.36</v>
      </c>
      <c r="BJ126" s="399">
        <v>85.19</v>
      </c>
      <c r="BK126" s="399">
        <v>709.66</v>
      </c>
      <c r="BL126" s="399">
        <v>13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741.09984076330591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1559.5140000000001</v>
      </c>
      <c r="CJ126" s="399">
        <v>-521.77520000000004</v>
      </c>
      <c r="CK126" s="399"/>
      <c r="CL126" s="399"/>
      <c r="CM126" s="399"/>
      <c r="CN126" s="399"/>
      <c r="CO126" s="399">
        <v>-560.22111999999993</v>
      </c>
      <c r="CP126" s="399">
        <v>36.585599999999978</v>
      </c>
      <c r="CQ126" s="399">
        <v>30</v>
      </c>
      <c r="CR126" s="399">
        <v>-22.901386090529286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-33.379441731860453</v>
      </c>
      <c r="DA126" s="399">
        <v>0</v>
      </c>
      <c r="DB126" s="399">
        <v>0</v>
      </c>
      <c r="DC126" s="399">
        <v>36.576105609549359</v>
      </c>
      <c r="DD126" s="399">
        <v>0</v>
      </c>
      <c r="DE126" s="399">
        <v>0</v>
      </c>
      <c r="DF126" s="399">
        <v>0</v>
      </c>
      <c r="DG126" s="399">
        <v>4.3527581423772546</v>
      </c>
      <c r="DH126" s="399">
        <v>0</v>
      </c>
      <c r="DI126" s="399">
        <v>-26.336198998910618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-3.4676666493230073</v>
      </c>
      <c r="DP126" s="399">
        <v>-0.64694246236197817</v>
      </c>
      <c r="DQ126" s="399">
        <v>0</v>
      </c>
      <c r="DR126" s="399">
        <v>0</v>
      </c>
      <c r="DS126" s="399"/>
      <c r="DT126" s="399"/>
      <c r="DU126" s="399"/>
      <c r="DV126" s="399">
        <v>820.8305999100628</v>
      </c>
      <c r="DW126" s="399">
        <v>0</v>
      </c>
      <c r="DX126" s="399">
        <v>0</v>
      </c>
      <c r="DY126" s="399">
        <v>-560.22111999999993</v>
      </c>
      <c r="DZ126" s="399">
        <v>36.585599999999999</v>
      </c>
      <c r="EA126" s="399">
        <v>0</v>
      </c>
      <c r="EB126" s="399">
        <v>0</v>
      </c>
      <c r="EC126" s="399">
        <v>-500.76123644583328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227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956</v>
      </c>
      <c r="C127" s="399" t="s">
        <v>2328</v>
      </c>
      <c r="D127" s="399" t="s">
        <v>2337</v>
      </c>
      <c r="E127" s="399" t="s">
        <v>2338</v>
      </c>
      <c r="F127" s="399" t="s">
        <v>2339</v>
      </c>
      <c r="G127" s="399" t="s">
        <v>1239</v>
      </c>
      <c r="H127" s="399" t="s">
        <v>1239</v>
      </c>
      <c r="I127" s="399" t="s">
        <v>1239</v>
      </c>
      <c r="J127" s="399" t="s">
        <v>2329</v>
      </c>
      <c r="K127" s="789">
        <v>44652</v>
      </c>
      <c r="L127" s="399">
        <v>0</v>
      </c>
      <c r="M127" s="399">
        <v>0</v>
      </c>
      <c r="N127" s="399">
        <v>17.356999999999999</v>
      </c>
      <c r="O127" s="399">
        <v>17.356999999999999</v>
      </c>
      <c r="P127" s="399">
        <v>17.356999999999999</v>
      </c>
      <c r="Q127" s="399">
        <v>17.356999999999999</v>
      </c>
      <c r="R127" s="399"/>
      <c r="S127" s="399">
        <v>234.02</v>
      </c>
      <c r="T127" s="399">
        <v>113.28</v>
      </c>
      <c r="U127" s="399"/>
      <c r="V127" s="399">
        <v>6028.0860999999995</v>
      </c>
      <c r="W127" s="399">
        <v>6028.0860999999995</v>
      </c>
      <c r="X127" s="399">
        <v>4511.2578699999995</v>
      </c>
      <c r="Y127" s="399">
        <v>0</v>
      </c>
      <c r="Z127" s="399">
        <v>582.08013529287257</v>
      </c>
      <c r="AA127" s="399">
        <v>0</v>
      </c>
      <c r="AB127" s="399">
        <v>0</v>
      </c>
      <c r="AC127" s="399">
        <v>0</v>
      </c>
      <c r="AD127" s="399">
        <v>773.84885632417081</v>
      </c>
      <c r="AE127" s="399">
        <v>2377.4078268966641</v>
      </c>
      <c r="AF127" s="399">
        <v>1918.2033470461895</v>
      </c>
      <c r="AG127" s="399">
        <v>48.002398619651508</v>
      </c>
      <c r="AH127" s="399">
        <v>0</v>
      </c>
      <c r="AI127" s="399">
        <v>0</v>
      </c>
      <c r="AJ127" s="399">
        <v>0</v>
      </c>
      <c r="AK127" s="399">
        <v>0</v>
      </c>
      <c r="AL127" s="399">
        <v>89.956886379628102</v>
      </c>
      <c r="AM127" s="399"/>
      <c r="AN127" s="399">
        <v>10.328703555850653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228.27676972285414</v>
      </c>
      <c r="BH127" s="399">
        <v>0</v>
      </c>
      <c r="BI127" s="399">
        <v>63.54</v>
      </c>
      <c r="BJ127" s="399">
        <v>293.31</v>
      </c>
      <c r="BK127" s="399">
        <v>2444.25</v>
      </c>
      <c r="BL127" s="399">
        <v>2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2146.4801167690434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4512.0375999999997</v>
      </c>
      <c r="CJ127" s="399">
        <v>-1516.0785000000005</v>
      </c>
      <c r="CK127" s="399"/>
      <c r="CL127" s="399"/>
      <c r="CM127" s="399"/>
      <c r="CN127" s="399"/>
      <c r="CO127" s="399">
        <v>-1622.7059300000001</v>
      </c>
      <c r="CP127" s="399">
        <v>105.87769999999989</v>
      </c>
      <c r="CQ127" s="399">
        <v>30</v>
      </c>
      <c r="CR127" s="399">
        <v>-66.330293417863231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-96.678347565821355</v>
      </c>
      <c r="DA127" s="399">
        <v>0</v>
      </c>
      <c r="DB127" s="399">
        <v>0</v>
      </c>
      <c r="DC127" s="399">
        <v>105.93698597869252</v>
      </c>
      <c r="DD127" s="399">
        <v>0</v>
      </c>
      <c r="DE127" s="399">
        <v>0</v>
      </c>
      <c r="DF127" s="399">
        <v>0</v>
      </c>
      <c r="DG127" s="399">
        <v>12.607085161553755</v>
      </c>
      <c r="DH127" s="399">
        <v>0</v>
      </c>
      <c r="DI127" s="399">
        <v>-76.278693359601903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-10.043555678933544</v>
      </c>
      <c r="DP127" s="399">
        <v>-1.8737679537528216</v>
      </c>
      <c r="DQ127" s="399">
        <v>0</v>
      </c>
      <c r="DR127" s="399">
        <v>0</v>
      </c>
      <c r="DS127" s="399"/>
      <c r="DT127" s="399"/>
      <c r="DU127" s="399"/>
      <c r="DV127" s="399">
        <v>2377.4078268966641</v>
      </c>
      <c r="DW127" s="399">
        <v>0</v>
      </c>
      <c r="DX127" s="399">
        <v>0</v>
      </c>
      <c r="DY127" s="399">
        <v>-1622.7059300000001</v>
      </c>
      <c r="DZ127" s="399">
        <v>105.87769999999978</v>
      </c>
      <c r="EA127" s="399">
        <v>0</v>
      </c>
      <c r="EB127" s="399">
        <v>0</v>
      </c>
      <c r="EC127" s="399">
        <v>-1450.3768293521407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227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956</v>
      </c>
      <c r="C128" s="399" t="s">
        <v>2328</v>
      </c>
      <c r="D128" s="399" t="s">
        <v>2335</v>
      </c>
      <c r="E128" s="399" t="s">
        <v>894</v>
      </c>
      <c r="F128" s="399" t="s">
        <v>2342</v>
      </c>
      <c r="G128" s="399" t="s">
        <v>2340</v>
      </c>
      <c r="H128" s="399" t="s">
        <v>1239</v>
      </c>
      <c r="I128" s="399" t="s">
        <v>1239</v>
      </c>
      <c r="J128" s="399" t="s">
        <v>2329</v>
      </c>
      <c r="K128" s="789">
        <v>44652</v>
      </c>
      <c r="L128" s="399">
        <v>0</v>
      </c>
      <c r="M128" s="399">
        <v>0</v>
      </c>
      <c r="N128" s="399">
        <v>0</v>
      </c>
      <c r="O128" s="399">
        <v>0</v>
      </c>
      <c r="P128" s="399">
        <v>0</v>
      </c>
      <c r="Q128" s="399">
        <v>0</v>
      </c>
      <c r="R128" s="399"/>
      <c r="S128" s="399"/>
      <c r="T128" s="399"/>
      <c r="U128" s="399"/>
      <c r="V128" s="399"/>
      <c r="W128" s="399"/>
      <c r="X128" s="399"/>
      <c r="Y128" s="399"/>
      <c r="Z128" s="399"/>
      <c r="AA128" s="399">
        <v>0</v>
      </c>
      <c r="AB128" s="399"/>
      <c r="AC128" s="399"/>
      <c r="AD128" s="399"/>
      <c r="AE128" s="399"/>
      <c r="AF128" s="399"/>
      <c r="AG128" s="399"/>
      <c r="AH128" s="399"/>
      <c r="AI128" s="399"/>
      <c r="AJ128" s="399"/>
      <c r="AK128" s="399"/>
      <c r="AL128" s="399"/>
      <c r="AM128" s="399"/>
      <c r="AN128" s="399"/>
      <c r="AO128" s="399"/>
      <c r="AP128" s="399"/>
      <c r="AQ128" s="399"/>
      <c r="AR128" s="399"/>
      <c r="AS128" s="399"/>
      <c r="AT128" s="399"/>
      <c r="AU128" s="399"/>
      <c r="AV128" s="399"/>
      <c r="AW128" s="399"/>
      <c r="AX128" s="399"/>
      <c r="AY128" s="399"/>
      <c r="AZ128" s="399">
        <v>0</v>
      </c>
      <c r="BA128" s="399"/>
      <c r="BB128" s="399"/>
      <c r="BC128" s="399"/>
      <c r="BD128" s="399"/>
      <c r="BE128" s="399"/>
      <c r="BF128" s="399"/>
      <c r="BG128" s="399"/>
      <c r="BH128" s="399"/>
      <c r="BI128" s="399">
        <v>0.39</v>
      </c>
      <c r="BJ128" s="399">
        <v>1.79</v>
      </c>
      <c r="BK128" s="399">
        <v>14.74</v>
      </c>
      <c r="BL128" s="399">
        <v>1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/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/>
      <c r="CJ128" s="399">
        <v>-0.03</v>
      </c>
      <c r="CK128" s="399"/>
      <c r="CL128" s="399"/>
      <c r="CM128" s="399"/>
      <c r="CN128" s="399"/>
      <c r="CO128" s="399">
        <v>0</v>
      </c>
      <c r="CP128" s="399">
        <v>0</v>
      </c>
      <c r="CQ128" s="399">
        <v>30</v>
      </c>
      <c r="CR128" s="399"/>
      <c r="CS128" s="399"/>
      <c r="CT128" s="399"/>
      <c r="CU128" s="399"/>
      <c r="CV128" s="399"/>
      <c r="CW128" s="399"/>
      <c r="CX128" s="399"/>
      <c r="CY128" s="399"/>
      <c r="CZ128" s="399"/>
      <c r="DA128" s="399"/>
      <c r="DB128" s="399"/>
      <c r="DC128" s="399"/>
      <c r="DD128" s="399"/>
      <c r="DE128" s="399"/>
      <c r="DF128" s="399"/>
      <c r="DG128" s="399"/>
      <c r="DH128" s="399"/>
      <c r="DI128" s="399"/>
      <c r="DJ128" s="399"/>
      <c r="DK128" s="399">
        <v>0</v>
      </c>
      <c r="DL128" s="399"/>
      <c r="DM128" s="399"/>
      <c r="DN128" s="399"/>
      <c r="DO128" s="399"/>
      <c r="DP128" s="399"/>
      <c r="DQ128" s="399"/>
      <c r="DR128" s="399"/>
      <c r="DS128" s="399"/>
      <c r="DT128" s="399"/>
      <c r="DU128" s="399"/>
      <c r="DV128" s="399"/>
      <c r="DW128" s="399"/>
      <c r="DX128" s="399"/>
      <c r="DY128" s="399"/>
      <c r="DZ128" s="399"/>
      <c r="EA128" s="399"/>
      <c r="EB128" s="399"/>
      <c r="EC128" s="399"/>
      <c r="ED128" s="399"/>
      <c r="EE128" s="399"/>
      <c r="EF128" s="399"/>
      <c r="EG128" s="399"/>
      <c r="EH128" s="399"/>
      <c r="EI128" s="399"/>
      <c r="EJ128" s="399"/>
      <c r="EK128" s="399"/>
      <c r="EL128" s="399"/>
      <c r="EM128" s="399"/>
      <c r="EN128" s="399"/>
      <c r="EO128" s="399"/>
      <c r="EP128" s="399"/>
      <c r="EQ128" s="399"/>
      <c r="ER128" s="399"/>
      <c r="ES128" s="399"/>
      <c r="ET128" s="399"/>
      <c r="EU128" s="399"/>
      <c r="EV128" s="399">
        <v>227</v>
      </c>
      <c r="EW128" s="399"/>
      <c r="EX128" s="399"/>
      <c r="EY128" s="399"/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956</v>
      </c>
      <c r="C129" s="399" t="s">
        <v>2328</v>
      </c>
      <c r="D129" s="399" t="s">
        <v>2335</v>
      </c>
      <c r="E129" s="399" t="s">
        <v>894</v>
      </c>
      <c r="F129" s="399" t="s">
        <v>2342</v>
      </c>
      <c r="G129" s="399" t="s">
        <v>2340</v>
      </c>
      <c r="H129" s="399" t="s">
        <v>1239</v>
      </c>
      <c r="I129" s="399" t="s">
        <v>1239</v>
      </c>
      <c r="J129" s="399" t="s">
        <v>2329</v>
      </c>
      <c r="K129" s="789">
        <v>44652</v>
      </c>
      <c r="L129" s="399">
        <v>0</v>
      </c>
      <c r="M129" s="399">
        <v>0</v>
      </c>
      <c r="N129" s="399">
        <v>0.16400000000000001</v>
      </c>
      <c r="O129" s="399">
        <v>0.16400000000000001</v>
      </c>
      <c r="P129" s="399">
        <v>0.16400000000000001</v>
      </c>
      <c r="Q129" s="399">
        <v>0.16400000000000001</v>
      </c>
      <c r="R129" s="399"/>
      <c r="S129" s="399">
        <v>425.49</v>
      </c>
      <c r="T129" s="399">
        <v>205.96</v>
      </c>
      <c r="U129" s="399"/>
      <c r="V129" s="399">
        <v>103.55780000000001</v>
      </c>
      <c r="W129" s="399">
        <v>103.55780000000001</v>
      </c>
      <c r="X129" s="399">
        <v>77.50312000000001</v>
      </c>
      <c r="Y129" s="399">
        <v>0</v>
      </c>
      <c r="Z129" s="399">
        <v>9.9997530142966866</v>
      </c>
      <c r="AA129" s="399">
        <v>0</v>
      </c>
      <c r="AB129" s="399">
        <v>0</v>
      </c>
      <c r="AC129" s="399">
        <v>0</v>
      </c>
      <c r="AD129" s="399">
        <v>13.294213226747811</v>
      </c>
      <c r="AE129" s="399">
        <v>40.842299267369633</v>
      </c>
      <c r="AF129" s="399">
        <v>32.953469013348148</v>
      </c>
      <c r="AG129" s="399">
        <v>0.82464956487273744</v>
      </c>
      <c r="AH129" s="399">
        <v>0</v>
      </c>
      <c r="AI129" s="399">
        <v>0</v>
      </c>
      <c r="AJ129" s="399">
        <v>0</v>
      </c>
      <c r="AK129" s="399">
        <v>0</v>
      </c>
      <c r="AL129" s="399">
        <v>1.5454000079882897</v>
      </c>
      <c r="AM129" s="399"/>
      <c r="AN129" s="399">
        <v>0.17744031835827354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3.9216444226901324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>
        <v>9.3020800000000055</v>
      </c>
      <c r="BS129" s="399"/>
      <c r="BT129" s="399"/>
      <c r="BU129" s="399"/>
      <c r="BV129" s="399">
        <v>36.875113436038276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66.537599999999998</v>
      </c>
      <c r="CJ129" s="399">
        <v>-24.623920000000012</v>
      </c>
      <c r="CK129" s="399"/>
      <c r="CL129" s="399"/>
      <c r="CM129" s="399"/>
      <c r="CN129" s="399"/>
      <c r="CO129" s="399">
        <v>-27.875080000000001</v>
      </c>
      <c r="CP129" s="399">
        <v>1.8203999999999991</v>
      </c>
      <c r="CQ129" s="399">
        <v>30</v>
      </c>
      <c r="CR129" s="399">
        <v>-1.1395107156695516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-1.6608702803474262</v>
      </c>
      <c r="DA129" s="399">
        <v>0</v>
      </c>
      <c r="DB129" s="399">
        <v>0</v>
      </c>
      <c r="DC129" s="399">
        <v>1.8199275849411691</v>
      </c>
      <c r="DD129" s="399">
        <v>0</v>
      </c>
      <c r="DE129" s="399">
        <v>0</v>
      </c>
      <c r="DF129" s="399">
        <v>0</v>
      </c>
      <c r="DG129" s="399">
        <v>0.21658141242411055</v>
      </c>
      <c r="DH129" s="399">
        <v>0</v>
      </c>
      <c r="DI129" s="399">
        <v>-1.3104176686351163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-0.17254166580369334</v>
      </c>
      <c r="DP129" s="399">
        <v>-3.2190098248593563E-2</v>
      </c>
      <c r="DQ129" s="399">
        <v>0</v>
      </c>
      <c r="DR129" s="399">
        <v>0</v>
      </c>
      <c r="DS129" s="399"/>
      <c r="DT129" s="399"/>
      <c r="DU129" s="399"/>
      <c r="DV129" s="399">
        <v>40.842299267369633</v>
      </c>
      <c r="DW129" s="399">
        <v>0</v>
      </c>
      <c r="DX129" s="399">
        <v>0</v>
      </c>
      <c r="DY129" s="399">
        <v>-27.875079999999997</v>
      </c>
      <c r="DZ129" s="399">
        <v>1.8203999999999994</v>
      </c>
      <c r="EA129" s="399">
        <v>0</v>
      </c>
      <c r="EB129" s="399">
        <v>0</v>
      </c>
      <c r="EC129" s="399">
        <v>-24.916517832863065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227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956</v>
      </c>
      <c r="C130" s="399" t="s">
        <v>2328</v>
      </c>
      <c r="D130" s="399" t="s">
        <v>2335</v>
      </c>
      <c r="E130" s="399" t="s">
        <v>894</v>
      </c>
      <c r="F130" s="399" t="s">
        <v>2342</v>
      </c>
      <c r="G130" s="399" t="s">
        <v>2341</v>
      </c>
      <c r="H130" s="399" t="s">
        <v>1239</v>
      </c>
      <c r="I130" s="399" t="s">
        <v>1239</v>
      </c>
      <c r="J130" s="399" t="s">
        <v>2329</v>
      </c>
      <c r="K130" s="789">
        <v>44652</v>
      </c>
      <c r="L130" s="399">
        <v>0</v>
      </c>
      <c r="M130" s="399">
        <v>0</v>
      </c>
      <c r="N130" s="399">
        <v>6.5000000000000002E-2</v>
      </c>
      <c r="O130" s="399">
        <v>2.5999999999999999E-2</v>
      </c>
      <c r="P130" s="399">
        <v>6.5000000000000002E-2</v>
      </c>
      <c r="Q130" s="399">
        <v>2.5999999999999999E-2</v>
      </c>
      <c r="R130" s="399"/>
      <c r="S130" s="399">
        <v>425.49</v>
      </c>
      <c r="T130" s="399">
        <v>205.96</v>
      </c>
      <c r="U130" s="399"/>
      <c r="V130" s="399">
        <v>41.044250000000005</v>
      </c>
      <c r="W130" s="399">
        <v>41.044250000000005</v>
      </c>
      <c r="X130" s="399">
        <v>30.717700000000001</v>
      </c>
      <c r="Y130" s="399">
        <v>0</v>
      </c>
      <c r="Z130" s="399">
        <v>3.963316743471248</v>
      </c>
      <c r="AA130" s="399">
        <v>0</v>
      </c>
      <c r="AB130" s="399">
        <v>0</v>
      </c>
      <c r="AC130" s="399">
        <v>0</v>
      </c>
      <c r="AD130" s="399">
        <v>5.2690479252354132</v>
      </c>
      <c r="AE130" s="399">
        <v>16.187496660847721</v>
      </c>
      <c r="AF130" s="399">
        <v>13.060826133339205</v>
      </c>
      <c r="AG130" s="399">
        <v>0.32684281534590204</v>
      </c>
      <c r="AH130" s="399">
        <v>0</v>
      </c>
      <c r="AI130" s="399">
        <v>0</v>
      </c>
      <c r="AJ130" s="399">
        <v>0</v>
      </c>
      <c r="AK130" s="399">
        <v>0</v>
      </c>
      <c r="AL130" s="399">
        <v>0.61250610072706602</v>
      </c>
      <c r="AM130" s="399"/>
      <c r="AN130" s="399">
        <v>7.0326955446876713E-2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1.5543102894808452</v>
      </c>
      <c r="BH130" s="399">
        <v>0</v>
      </c>
      <c r="BI130" s="399">
        <v>0</v>
      </c>
      <c r="BJ130" s="399">
        <v>0</v>
      </c>
      <c r="BK130" s="399">
        <v>0</v>
      </c>
      <c r="BL130" s="399">
        <v>0</v>
      </c>
      <c r="BM130" s="399"/>
      <c r="BN130" s="399"/>
      <c r="BO130" s="399"/>
      <c r="BP130" s="399"/>
      <c r="BQ130" s="399"/>
      <c r="BR130" s="399"/>
      <c r="BS130" s="399">
        <v>19.90534000000001</v>
      </c>
      <c r="BT130" s="399"/>
      <c r="BU130" s="399"/>
      <c r="BV130" s="399">
        <v>14.615136422820051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12.4758</v>
      </c>
      <c r="CJ130" s="399">
        <v>-2.0018799999999981</v>
      </c>
      <c r="CK130" s="399"/>
      <c r="CL130" s="399"/>
      <c r="CM130" s="399"/>
      <c r="CN130" s="399"/>
      <c r="CO130" s="399">
        <v>-11.04805</v>
      </c>
      <c r="CP130" s="399">
        <v>0.7214999999999997</v>
      </c>
      <c r="CQ130" s="399">
        <v>30</v>
      </c>
      <c r="CR130" s="399">
        <v>-0.45163534462512445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-0.65827175745477273</v>
      </c>
      <c r="DA130" s="399">
        <v>0</v>
      </c>
      <c r="DB130" s="399">
        <v>0</v>
      </c>
      <c r="DC130" s="399">
        <v>0.72131276232424391</v>
      </c>
      <c r="DD130" s="399">
        <v>0</v>
      </c>
      <c r="DE130" s="399">
        <v>0</v>
      </c>
      <c r="DF130" s="399">
        <v>0</v>
      </c>
      <c r="DG130" s="399">
        <v>8.5840193948580445E-2</v>
      </c>
      <c r="DH130" s="399">
        <v>0</v>
      </c>
      <c r="DI130" s="399">
        <v>-0.51937285647123499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-6.8385416324634574E-2</v>
      </c>
      <c r="DP130" s="399">
        <v>-1.2758270647308431E-2</v>
      </c>
      <c r="DQ130" s="399">
        <v>0</v>
      </c>
      <c r="DR130" s="399">
        <v>0</v>
      </c>
      <c r="DS130" s="399"/>
      <c r="DT130" s="399"/>
      <c r="DU130" s="399"/>
      <c r="DV130" s="399">
        <v>16.187496660847721</v>
      </c>
      <c r="DW130" s="399">
        <v>0</v>
      </c>
      <c r="DX130" s="399">
        <v>0</v>
      </c>
      <c r="DY130" s="399">
        <v>-11.04805</v>
      </c>
      <c r="DZ130" s="399">
        <v>0.72149999999999892</v>
      </c>
      <c r="EA130" s="399">
        <v>0</v>
      </c>
      <c r="EB130" s="399">
        <v>0</v>
      </c>
      <c r="EC130" s="399">
        <v>-9.8754491410737764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227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956</v>
      </c>
      <c r="C131" s="399" t="s">
        <v>2328</v>
      </c>
      <c r="D131" s="399" t="s">
        <v>1823</v>
      </c>
      <c r="E131" s="399" t="s">
        <v>889</v>
      </c>
      <c r="F131" s="399" t="s">
        <v>889</v>
      </c>
      <c r="G131" s="399" t="s">
        <v>1239</v>
      </c>
      <c r="H131" s="399" t="s">
        <v>1239</v>
      </c>
      <c r="I131" s="399" t="s">
        <v>1239</v>
      </c>
      <c r="J131" s="399" t="s">
        <v>2329</v>
      </c>
      <c r="K131" s="789">
        <v>44682</v>
      </c>
      <c r="L131" s="399">
        <v>0</v>
      </c>
      <c r="M131" s="399">
        <v>0</v>
      </c>
      <c r="N131" s="399">
        <v>185.47900000000001</v>
      </c>
      <c r="O131" s="399">
        <v>185.47900000000001</v>
      </c>
      <c r="P131" s="399">
        <v>185.47900000000001</v>
      </c>
      <c r="Q131" s="399">
        <v>185.47900000000001</v>
      </c>
      <c r="R131" s="399"/>
      <c r="S131" s="399">
        <v>425.49</v>
      </c>
      <c r="T131" s="399">
        <v>205.96</v>
      </c>
      <c r="U131" s="399"/>
      <c r="V131" s="399">
        <v>117120.71455</v>
      </c>
      <c r="W131" s="399">
        <v>117120.71455</v>
      </c>
      <c r="X131" s="399">
        <v>87653.665820000009</v>
      </c>
      <c r="Y131" s="399">
        <v>0</v>
      </c>
      <c r="Z131" s="399">
        <v>11309.415788650824</v>
      </c>
      <c r="AA131" s="399">
        <v>0</v>
      </c>
      <c r="AB131" s="399">
        <v>0</v>
      </c>
      <c r="AC131" s="399">
        <v>0</v>
      </c>
      <c r="AD131" s="399">
        <v>15035.34984807291</v>
      </c>
      <c r="AE131" s="399">
        <v>46191.395279344222</v>
      </c>
      <c r="AF131" s="399">
        <v>37269.368775163421</v>
      </c>
      <c r="AG131" s="399">
        <v>932.65351611603944</v>
      </c>
      <c r="AH131" s="399">
        <v>0</v>
      </c>
      <c r="AI131" s="399">
        <v>0</v>
      </c>
      <c r="AJ131" s="399">
        <v>0</v>
      </c>
      <c r="AK131" s="399">
        <v>0</v>
      </c>
      <c r="AL131" s="399">
        <v>1747.8002931808537</v>
      </c>
      <c r="AM131" s="399"/>
      <c r="AN131" s="399">
        <v>200.67959029740376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4435.2602797325799</v>
      </c>
      <c r="BH131" s="399">
        <v>0</v>
      </c>
      <c r="BI131" s="399">
        <v>362.48</v>
      </c>
      <c r="BJ131" s="399">
        <v>1703.02</v>
      </c>
      <c r="BK131" s="399">
        <v>19534.23</v>
      </c>
      <c r="BL131" s="399">
        <v>944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41704.629054896002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87654.138399999996</v>
      </c>
      <c r="CJ131" s="399">
        <v>-29466.606149999992</v>
      </c>
      <c r="CK131" s="399"/>
      <c r="CL131" s="399"/>
      <c r="CM131" s="399"/>
      <c r="CN131" s="399"/>
      <c r="CO131" s="399">
        <v>-31525.865630000004</v>
      </c>
      <c r="CP131" s="399">
        <v>2058.8168999999989</v>
      </c>
      <c r="CQ131" s="399">
        <v>31</v>
      </c>
      <c r="CR131" s="399">
        <v>-1288.751878241892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-1878.3936507839026</v>
      </c>
      <c r="DA131" s="399">
        <v>0</v>
      </c>
      <c r="DB131" s="399">
        <v>0</v>
      </c>
      <c r="DC131" s="399">
        <v>2058.2826129713649</v>
      </c>
      <c r="DD131" s="399">
        <v>0</v>
      </c>
      <c r="DE131" s="399">
        <v>0</v>
      </c>
      <c r="DF131" s="399">
        <v>0</v>
      </c>
      <c r="DG131" s="399">
        <v>244.94697435982653</v>
      </c>
      <c r="DH131" s="399">
        <v>0</v>
      </c>
      <c r="DI131" s="399">
        <v>-1482.0424314681259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-195.13936360733692</v>
      </c>
      <c r="DP131" s="399">
        <v>-36.406019713724902</v>
      </c>
      <c r="DQ131" s="399">
        <v>0</v>
      </c>
      <c r="DR131" s="399">
        <v>0</v>
      </c>
      <c r="DS131" s="399"/>
      <c r="DT131" s="399"/>
      <c r="DU131" s="399"/>
      <c r="DV131" s="399">
        <v>46191.395279344222</v>
      </c>
      <c r="DW131" s="399">
        <v>0</v>
      </c>
      <c r="DX131" s="399">
        <v>0</v>
      </c>
      <c r="DY131" s="399">
        <v>-31525.865630000008</v>
      </c>
      <c r="DZ131" s="399">
        <v>2058.8169000000053</v>
      </c>
      <c r="EA131" s="399">
        <v>0</v>
      </c>
      <c r="EB131" s="399">
        <v>0</v>
      </c>
      <c r="EC131" s="399">
        <v>-28179.8220190342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227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130</v>
      </c>
      <c r="B132" s="399" t="s">
        <v>956</v>
      </c>
      <c r="C132" s="399" t="s">
        <v>2328</v>
      </c>
      <c r="D132" s="399" t="s">
        <v>1823</v>
      </c>
      <c r="E132" s="399" t="s">
        <v>889</v>
      </c>
      <c r="F132" s="399" t="s">
        <v>2330</v>
      </c>
      <c r="G132" s="399" t="s">
        <v>1239</v>
      </c>
      <c r="H132" s="399" t="s">
        <v>1239</v>
      </c>
      <c r="I132" s="399" t="s">
        <v>1239</v>
      </c>
      <c r="J132" s="399" t="s">
        <v>2329</v>
      </c>
      <c r="K132" s="789">
        <v>44682</v>
      </c>
      <c r="L132" s="399">
        <v>0</v>
      </c>
      <c r="M132" s="399">
        <v>0</v>
      </c>
      <c r="N132" s="399">
        <v>0.36</v>
      </c>
      <c r="O132" s="399">
        <v>0.36</v>
      </c>
      <c r="P132" s="399">
        <v>0.36</v>
      </c>
      <c r="Q132" s="399">
        <v>0.36</v>
      </c>
      <c r="R132" s="399"/>
      <c r="S132" s="399">
        <v>355.1</v>
      </c>
      <c r="T132" s="399">
        <v>205.96</v>
      </c>
      <c r="U132" s="399"/>
      <c r="V132" s="399">
        <v>201.98160000000001</v>
      </c>
      <c r="W132" s="399">
        <v>201.98160000000001</v>
      </c>
      <c r="X132" s="399">
        <v>148.03919999999999</v>
      </c>
      <c r="Y132" s="399">
        <v>0</v>
      </c>
      <c r="Z132" s="399">
        <v>0</v>
      </c>
      <c r="AA132" s="399">
        <v>0</v>
      </c>
      <c r="AB132" s="399">
        <v>0</v>
      </c>
      <c r="AC132" s="399">
        <v>0</v>
      </c>
      <c r="AD132" s="399">
        <v>29.182419278226899</v>
      </c>
      <c r="AE132" s="399">
        <v>89.653827660079685</v>
      </c>
      <c r="AF132" s="399">
        <v>72.336883200032517</v>
      </c>
      <c r="AG132" s="399">
        <v>1.8102063619157649</v>
      </c>
      <c r="AH132" s="399">
        <v>0</v>
      </c>
      <c r="AI132" s="399">
        <v>0</v>
      </c>
      <c r="AJ132" s="399">
        <v>0</v>
      </c>
      <c r="AK132" s="399">
        <v>0</v>
      </c>
      <c r="AL132" s="399">
        <v>0</v>
      </c>
      <c r="AM132" s="399"/>
      <c r="AN132" s="399">
        <v>0.38950313785962482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8.6084877571246796</v>
      </c>
      <c r="BH132" s="399">
        <v>0</v>
      </c>
      <c r="BI132" s="399">
        <v>0.24</v>
      </c>
      <c r="BJ132" s="399">
        <v>1.26</v>
      </c>
      <c r="BK132" s="399">
        <v>7.2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>
        <v>96.224400000000003</v>
      </c>
      <c r="BU132" s="399"/>
      <c r="BV132" s="399">
        <v>80.945370957157195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51.814799999999998</v>
      </c>
      <c r="CJ132" s="399">
        <v>-18.908400000000007</v>
      </c>
      <c r="CK132" s="399"/>
      <c r="CL132" s="399"/>
      <c r="CM132" s="399"/>
      <c r="CN132" s="399"/>
      <c r="CO132" s="399">
        <v>-57.938400000000009</v>
      </c>
      <c r="CP132" s="399">
        <v>3.9959999999999978</v>
      </c>
      <c r="CQ132" s="399">
        <v>31</v>
      </c>
      <c r="CR132" s="399">
        <v>0.75391160217644426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-3.6458128105187377</v>
      </c>
      <c r="DA132" s="399">
        <v>0</v>
      </c>
      <c r="DB132" s="399">
        <v>0</v>
      </c>
      <c r="DC132" s="399">
        <v>3.9949629913342761</v>
      </c>
      <c r="DD132" s="399">
        <v>0</v>
      </c>
      <c r="DE132" s="399">
        <v>0</v>
      </c>
      <c r="DF132" s="399">
        <v>0</v>
      </c>
      <c r="DG132" s="399">
        <v>0.47542261263829211</v>
      </c>
      <c r="DH132" s="399">
        <v>0</v>
      </c>
      <c r="DI132" s="399">
        <v>0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0</v>
      </c>
      <c r="DP132" s="399">
        <v>-7.0661191277400504E-2</v>
      </c>
      <c r="DQ132" s="399">
        <v>0</v>
      </c>
      <c r="DR132" s="399">
        <v>0</v>
      </c>
      <c r="DS132" s="399"/>
      <c r="DT132" s="399"/>
      <c r="DU132" s="399"/>
      <c r="DV132" s="399">
        <v>89.653827660079685</v>
      </c>
      <c r="DW132" s="399">
        <v>0</v>
      </c>
      <c r="DX132" s="399">
        <v>0</v>
      </c>
      <c r="DY132" s="399">
        <v>-57.938400000000001</v>
      </c>
      <c r="DZ132" s="399">
        <v>3.9959999999999951</v>
      </c>
      <c r="EA132" s="399">
        <v>0</v>
      </c>
      <c r="EB132" s="399">
        <v>0</v>
      </c>
      <c r="EC132" s="399">
        <v>-54.69479524287015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227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2328</v>
      </c>
      <c r="D133" s="399" t="s">
        <v>1823</v>
      </c>
      <c r="E133" s="399" t="s">
        <v>889</v>
      </c>
      <c r="F133" s="399" t="s">
        <v>2331</v>
      </c>
      <c r="G133" s="399" t="s">
        <v>1239</v>
      </c>
      <c r="H133" s="399" t="s">
        <v>1239</v>
      </c>
      <c r="I133" s="399" t="s">
        <v>1239</v>
      </c>
      <c r="J133" s="399" t="s">
        <v>2329</v>
      </c>
      <c r="K133" s="789">
        <v>44682</v>
      </c>
      <c r="L133" s="399">
        <v>0</v>
      </c>
      <c r="M133" s="399">
        <v>0</v>
      </c>
      <c r="N133" s="399">
        <v>0.82199999999999995</v>
      </c>
      <c r="O133" s="399">
        <v>0.82199999999999995</v>
      </c>
      <c r="P133" s="399">
        <v>0.82199999999999995</v>
      </c>
      <c r="Q133" s="399">
        <v>0.82199999999999995</v>
      </c>
      <c r="R133" s="399"/>
      <c r="S133" s="399">
        <v>355.1</v>
      </c>
      <c r="T133" s="399">
        <v>205.96</v>
      </c>
      <c r="U133" s="399"/>
      <c r="V133" s="399">
        <v>461.19132000000002</v>
      </c>
      <c r="W133" s="399">
        <v>461.19132000000002</v>
      </c>
      <c r="X133" s="399">
        <v>338.02283999999997</v>
      </c>
      <c r="Y133" s="399">
        <v>0</v>
      </c>
      <c r="Z133" s="399">
        <v>0</v>
      </c>
      <c r="AA133" s="399">
        <v>0</v>
      </c>
      <c r="AB133" s="399">
        <v>0</v>
      </c>
      <c r="AC133" s="399">
        <v>0</v>
      </c>
      <c r="AD133" s="399">
        <v>66.63319068528476</v>
      </c>
      <c r="AE133" s="399">
        <v>204.70957315718192</v>
      </c>
      <c r="AF133" s="399">
        <v>165.16921664007424</v>
      </c>
      <c r="AG133" s="399">
        <v>4.1333045263743298</v>
      </c>
      <c r="AH133" s="399">
        <v>0</v>
      </c>
      <c r="AI133" s="399">
        <v>0</v>
      </c>
      <c r="AJ133" s="399">
        <v>0</v>
      </c>
      <c r="AK133" s="399">
        <v>0</v>
      </c>
      <c r="AL133" s="399">
        <v>0</v>
      </c>
      <c r="AM133" s="399"/>
      <c r="AN133" s="399">
        <v>0.88936549811280996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19.656047045434686</v>
      </c>
      <c r="BH133" s="399">
        <v>0</v>
      </c>
      <c r="BI133" s="399">
        <v>1.1000000000000001</v>
      </c>
      <c r="BJ133" s="399">
        <v>5.17</v>
      </c>
      <c r="BK133" s="399">
        <v>28.5</v>
      </c>
      <c r="BL133" s="399">
        <v>2</v>
      </c>
      <c r="BM133" s="399"/>
      <c r="BN133" s="399"/>
      <c r="BO133" s="399"/>
      <c r="BP133" s="399"/>
      <c r="BQ133" s="399"/>
      <c r="BR133" s="399"/>
      <c r="BS133" s="399"/>
      <c r="BT133" s="399">
        <v>135.20255999999998</v>
      </c>
      <c r="BU133" s="399"/>
      <c r="BV133" s="399">
        <v>184.82526368550893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202.32679999999999</v>
      </c>
      <c r="CJ133" s="399">
        <v>-74.421279999999967</v>
      </c>
      <c r="CK133" s="399"/>
      <c r="CL133" s="399"/>
      <c r="CM133" s="399"/>
      <c r="CN133" s="399"/>
      <c r="CO133" s="399">
        <v>-132.29268000000002</v>
      </c>
      <c r="CP133" s="399">
        <v>9.1241999999999948</v>
      </c>
      <c r="CQ133" s="399">
        <v>31</v>
      </c>
      <c r="CR133" s="399">
        <v>1.7214314916361673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-8.3246059173511284</v>
      </c>
      <c r="DA133" s="399">
        <v>0</v>
      </c>
      <c r="DB133" s="399">
        <v>0</v>
      </c>
      <c r="DC133" s="399">
        <v>9.1218321635465998</v>
      </c>
      <c r="DD133" s="399">
        <v>0</v>
      </c>
      <c r="DE133" s="399">
        <v>0</v>
      </c>
      <c r="DF133" s="399">
        <v>0</v>
      </c>
      <c r="DG133" s="399">
        <v>1.0855482988574323</v>
      </c>
      <c r="DH133" s="399">
        <v>0</v>
      </c>
      <c r="DI133" s="399">
        <v>0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0</v>
      </c>
      <c r="DP133" s="399">
        <v>-0.16134305341673116</v>
      </c>
      <c r="DQ133" s="399">
        <v>0</v>
      </c>
      <c r="DR133" s="399">
        <v>0</v>
      </c>
      <c r="DS133" s="399"/>
      <c r="DT133" s="399"/>
      <c r="DU133" s="399"/>
      <c r="DV133" s="399">
        <v>204.70957315718192</v>
      </c>
      <c r="DW133" s="399">
        <v>0</v>
      </c>
      <c r="DX133" s="399">
        <v>0</v>
      </c>
      <c r="DY133" s="399">
        <v>-132.29268000000002</v>
      </c>
      <c r="DZ133" s="399">
        <v>9.1242000000000019</v>
      </c>
      <c r="EA133" s="399">
        <v>0</v>
      </c>
      <c r="EB133" s="399">
        <v>0</v>
      </c>
      <c r="EC133" s="399">
        <v>-124.88644913788681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227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2328</v>
      </c>
      <c r="D134" s="399" t="s">
        <v>1823</v>
      </c>
      <c r="E134" s="399" t="s">
        <v>889</v>
      </c>
      <c r="F134" s="399" t="s">
        <v>2332</v>
      </c>
      <c r="G134" s="399" t="s">
        <v>1239</v>
      </c>
      <c r="H134" s="399" t="s">
        <v>1239</v>
      </c>
      <c r="I134" s="399" t="s">
        <v>1239</v>
      </c>
      <c r="J134" s="399" t="s">
        <v>2329</v>
      </c>
      <c r="K134" s="789">
        <v>44682</v>
      </c>
      <c r="L134" s="399">
        <v>0</v>
      </c>
      <c r="M134" s="399">
        <v>0</v>
      </c>
      <c r="N134" s="399">
        <v>0.79200000000000004</v>
      </c>
      <c r="O134" s="399">
        <v>0.79200000000000004</v>
      </c>
      <c r="P134" s="399">
        <v>0.79200000000000004</v>
      </c>
      <c r="Q134" s="399">
        <v>0.79200000000000004</v>
      </c>
      <c r="R134" s="399"/>
      <c r="S134" s="399">
        <v>355.1</v>
      </c>
      <c r="T134" s="399">
        <v>205.96</v>
      </c>
      <c r="U134" s="399"/>
      <c r="V134" s="399">
        <v>444.35952000000009</v>
      </c>
      <c r="W134" s="399">
        <v>444.35952000000009</v>
      </c>
      <c r="X134" s="399">
        <v>325.68624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64.201322412099188</v>
      </c>
      <c r="AE134" s="399">
        <v>197.23842085217532</v>
      </c>
      <c r="AF134" s="399">
        <v>159.14114304007154</v>
      </c>
      <c r="AG134" s="399">
        <v>3.9824539962146832</v>
      </c>
      <c r="AH134" s="399">
        <v>0</v>
      </c>
      <c r="AI134" s="399">
        <v>0</v>
      </c>
      <c r="AJ134" s="399">
        <v>0</v>
      </c>
      <c r="AK134" s="399">
        <v>0</v>
      </c>
      <c r="AL134" s="399">
        <v>0</v>
      </c>
      <c r="AM134" s="399"/>
      <c r="AN134" s="399">
        <v>0.85690690329117469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18.938673065674298</v>
      </c>
      <c r="BH134" s="399">
        <v>0</v>
      </c>
      <c r="BI134" s="399">
        <v>1.58</v>
      </c>
      <c r="BJ134" s="399">
        <v>7.23</v>
      </c>
      <c r="BK134" s="399">
        <v>64.75</v>
      </c>
      <c r="BL134" s="399">
        <v>8</v>
      </c>
      <c r="BM134" s="399"/>
      <c r="BN134" s="399"/>
      <c r="BO134" s="399"/>
      <c r="BP134" s="399"/>
      <c r="BQ134" s="399"/>
      <c r="BR134" s="399"/>
      <c r="BS134" s="399"/>
      <c r="BT134" s="399">
        <v>32.559119999999993</v>
      </c>
      <c r="BU134" s="399"/>
      <c r="BV134" s="399">
        <v>178.07981610574583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292.38690000000003</v>
      </c>
      <c r="CJ134" s="399">
        <v>-107.57141999999993</v>
      </c>
      <c r="CK134" s="399"/>
      <c r="CL134" s="399"/>
      <c r="CM134" s="399"/>
      <c r="CN134" s="399"/>
      <c r="CO134" s="399">
        <v>-127.46448000000002</v>
      </c>
      <c r="CP134" s="399">
        <v>8.7911999999999964</v>
      </c>
      <c r="CQ134" s="399">
        <v>31</v>
      </c>
      <c r="CR134" s="399">
        <v>1.6586055247881575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-8.020788183141228</v>
      </c>
      <c r="DA134" s="399">
        <v>0</v>
      </c>
      <c r="DB134" s="399">
        <v>0</v>
      </c>
      <c r="DC134" s="399">
        <v>8.788918580935416</v>
      </c>
      <c r="DD134" s="399">
        <v>0</v>
      </c>
      <c r="DE134" s="399">
        <v>0</v>
      </c>
      <c r="DF134" s="399">
        <v>0</v>
      </c>
      <c r="DG134" s="399">
        <v>1.0459297478042409</v>
      </c>
      <c r="DH134" s="399">
        <v>0</v>
      </c>
      <c r="DI134" s="399">
        <v>0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0</v>
      </c>
      <c r="DP134" s="399">
        <v>-0.15545462081028116</v>
      </c>
      <c r="DQ134" s="399">
        <v>0</v>
      </c>
      <c r="DR134" s="399">
        <v>0</v>
      </c>
      <c r="DS134" s="399"/>
      <c r="DT134" s="399"/>
      <c r="DU134" s="399"/>
      <c r="DV134" s="399">
        <v>197.23842085217532</v>
      </c>
      <c r="DW134" s="399">
        <v>0</v>
      </c>
      <c r="DX134" s="399">
        <v>0</v>
      </c>
      <c r="DY134" s="399">
        <v>-127.46448000000004</v>
      </c>
      <c r="DZ134" s="399">
        <v>8.791199999999975</v>
      </c>
      <c r="EA134" s="399">
        <v>0</v>
      </c>
      <c r="EB134" s="399">
        <v>0</v>
      </c>
      <c r="EC134" s="399">
        <v>-120.32854953431435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227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2328</v>
      </c>
      <c r="D135" s="399" t="s">
        <v>1823</v>
      </c>
      <c r="E135" s="399" t="s">
        <v>889</v>
      </c>
      <c r="F135" s="399" t="s">
        <v>2333</v>
      </c>
      <c r="G135" s="399" t="s">
        <v>1239</v>
      </c>
      <c r="H135" s="399" t="s">
        <v>1239</v>
      </c>
      <c r="I135" s="399" t="s">
        <v>1239</v>
      </c>
      <c r="J135" s="399" t="s">
        <v>2329</v>
      </c>
      <c r="K135" s="789">
        <v>44682</v>
      </c>
      <c r="L135" s="399">
        <v>0</v>
      </c>
      <c r="M135" s="399">
        <v>0</v>
      </c>
      <c r="N135" s="399">
        <v>8.1000000000000003E-2</v>
      </c>
      <c r="O135" s="399">
        <v>8.1000000000000003E-2</v>
      </c>
      <c r="P135" s="399">
        <v>8.1000000000000003E-2</v>
      </c>
      <c r="Q135" s="399">
        <v>8.1000000000000003E-2</v>
      </c>
      <c r="R135" s="399"/>
      <c r="S135" s="399">
        <v>355.1</v>
      </c>
      <c r="T135" s="399">
        <v>205.96</v>
      </c>
      <c r="U135" s="399"/>
      <c r="V135" s="399">
        <v>45.445860000000003</v>
      </c>
      <c r="W135" s="399">
        <v>45.445860000000003</v>
      </c>
      <c r="X135" s="399">
        <v>33.308820000000004</v>
      </c>
      <c r="Y135" s="399">
        <v>0</v>
      </c>
      <c r="Z135" s="399">
        <v>0</v>
      </c>
      <c r="AA135" s="399">
        <v>0</v>
      </c>
      <c r="AB135" s="399">
        <v>0</v>
      </c>
      <c r="AC135" s="399">
        <v>0</v>
      </c>
      <c r="AD135" s="399">
        <v>6.5660443376010527</v>
      </c>
      <c r="AE135" s="399">
        <v>20.172111223517931</v>
      </c>
      <c r="AF135" s="399">
        <v>16.275798720007316</v>
      </c>
      <c r="AG135" s="399">
        <v>0.40729643143104716</v>
      </c>
      <c r="AH135" s="399">
        <v>0</v>
      </c>
      <c r="AI135" s="399">
        <v>0</v>
      </c>
      <c r="AJ135" s="399">
        <v>0</v>
      </c>
      <c r="AK135" s="399">
        <v>0</v>
      </c>
      <c r="AL135" s="399">
        <v>0</v>
      </c>
      <c r="AM135" s="399"/>
      <c r="AN135" s="399">
        <v>8.7638206018415585E-2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1.936909745353053</v>
      </c>
      <c r="BH135" s="399">
        <v>0</v>
      </c>
      <c r="BI135" s="399">
        <v>0.12</v>
      </c>
      <c r="BJ135" s="399">
        <v>0.62</v>
      </c>
      <c r="BK135" s="399">
        <v>11.43</v>
      </c>
      <c r="BL135" s="399">
        <v>2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18.212708465360368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32.897599999999997</v>
      </c>
      <c r="CJ135" s="399">
        <v>-12.578260000000007</v>
      </c>
      <c r="CK135" s="399"/>
      <c r="CL135" s="399"/>
      <c r="CM135" s="399"/>
      <c r="CN135" s="399"/>
      <c r="CO135" s="399">
        <v>-13.036140000000003</v>
      </c>
      <c r="CP135" s="399">
        <v>0.89909999999999957</v>
      </c>
      <c r="CQ135" s="399">
        <v>31</v>
      </c>
      <c r="CR135" s="399">
        <v>0.16963011048970245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-0.82030788236671626</v>
      </c>
      <c r="DA135" s="399">
        <v>0</v>
      </c>
      <c r="DB135" s="399">
        <v>0</v>
      </c>
      <c r="DC135" s="399">
        <v>0.89886667305021462</v>
      </c>
      <c r="DD135" s="399">
        <v>0</v>
      </c>
      <c r="DE135" s="399">
        <v>0</v>
      </c>
      <c r="DF135" s="399">
        <v>0</v>
      </c>
      <c r="DG135" s="399">
        <v>0.10697008784361595</v>
      </c>
      <c r="DH135" s="399">
        <v>0</v>
      </c>
      <c r="DI135" s="399">
        <v>0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0</v>
      </c>
      <c r="DP135" s="399">
        <v>-1.589876803741512E-2</v>
      </c>
      <c r="DQ135" s="399">
        <v>0</v>
      </c>
      <c r="DR135" s="399">
        <v>0</v>
      </c>
      <c r="DS135" s="399"/>
      <c r="DT135" s="399"/>
      <c r="DU135" s="399"/>
      <c r="DV135" s="399">
        <v>20.172111223517931</v>
      </c>
      <c r="DW135" s="399">
        <v>0</v>
      </c>
      <c r="DX135" s="399">
        <v>0</v>
      </c>
      <c r="DY135" s="399">
        <v>-13.036140000000001</v>
      </c>
      <c r="DZ135" s="399">
        <v>0.89910000000000068</v>
      </c>
      <c r="EA135" s="399">
        <v>0</v>
      </c>
      <c r="EB135" s="399">
        <v>0</v>
      </c>
      <c r="EC135" s="399">
        <v>-12.306328929645785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227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956</v>
      </c>
      <c r="C136" s="399" t="s">
        <v>2328</v>
      </c>
      <c r="D136" s="399" t="s">
        <v>1826</v>
      </c>
      <c r="E136" s="399" t="s">
        <v>890</v>
      </c>
      <c r="F136" s="399" t="s">
        <v>1239</v>
      </c>
      <c r="G136" s="399" t="s">
        <v>1239</v>
      </c>
      <c r="H136" s="399" t="s">
        <v>1239</v>
      </c>
      <c r="I136" s="399" t="s">
        <v>1239</v>
      </c>
      <c r="J136" s="399" t="s">
        <v>2329</v>
      </c>
      <c r="K136" s="789">
        <v>44682</v>
      </c>
      <c r="L136" s="399">
        <v>0</v>
      </c>
      <c r="M136" s="399">
        <v>0</v>
      </c>
      <c r="N136" s="399">
        <v>60.601999999999997</v>
      </c>
      <c r="O136" s="399">
        <v>60.601999999999997</v>
      </c>
      <c r="P136" s="399">
        <v>60.601999999999997</v>
      </c>
      <c r="Q136" s="399">
        <v>60.601999999999997</v>
      </c>
      <c r="R136" s="399"/>
      <c r="S136" s="399">
        <v>425.49</v>
      </c>
      <c r="T136" s="399">
        <v>205.96</v>
      </c>
      <c r="U136" s="399"/>
      <c r="V136" s="399">
        <v>38267.132899999997</v>
      </c>
      <c r="W136" s="399">
        <v>38267.132899999997</v>
      </c>
      <c r="X136" s="399">
        <v>28639.293160000001</v>
      </c>
      <c r="Y136" s="399">
        <v>0</v>
      </c>
      <c r="Z136" s="399">
        <v>3695.1526351976081</v>
      </c>
      <c r="AA136" s="399">
        <v>0</v>
      </c>
      <c r="AB136" s="399">
        <v>0</v>
      </c>
      <c r="AC136" s="399">
        <v>0</v>
      </c>
      <c r="AD136" s="399">
        <v>4912.5360363864074</v>
      </c>
      <c r="AE136" s="399">
        <v>15092.225732933746</v>
      </c>
      <c r="AF136" s="399">
        <v>12177.110543578807</v>
      </c>
      <c r="AG136" s="399">
        <v>304.72812762449774</v>
      </c>
      <c r="AH136" s="399">
        <v>0</v>
      </c>
      <c r="AI136" s="399">
        <v>0</v>
      </c>
      <c r="AJ136" s="399">
        <v>0</v>
      </c>
      <c r="AK136" s="399">
        <v>0</v>
      </c>
      <c r="AL136" s="399">
        <v>571.06299563479467</v>
      </c>
      <c r="AM136" s="399"/>
      <c r="AN136" s="399">
        <v>65.56852544602495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1449.1432640479718</v>
      </c>
      <c r="BH136" s="399">
        <v>0</v>
      </c>
      <c r="BI136" s="399">
        <v>155.37</v>
      </c>
      <c r="BJ136" s="399">
        <v>720.26</v>
      </c>
      <c r="BK136" s="399">
        <v>10076.76</v>
      </c>
      <c r="BL136" s="399">
        <v>41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13626.253807626779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28638.348000000002</v>
      </c>
      <c r="CJ136" s="399">
        <v>-9628.8148999999939</v>
      </c>
      <c r="CK136" s="399"/>
      <c r="CL136" s="399"/>
      <c r="CM136" s="399"/>
      <c r="CN136" s="399"/>
      <c r="CO136" s="399">
        <v>-10300.521939999999</v>
      </c>
      <c r="CP136" s="399">
        <v>672.68219999999963</v>
      </c>
      <c r="CQ136" s="399">
        <v>31</v>
      </c>
      <c r="CR136" s="399">
        <v>-421.07700238418329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-613.73207761960202</v>
      </c>
      <c r="DA136" s="399">
        <v>0</v>
      </c>
      <c r="DB136" s="399">
        <v>0</v>
      </c>
      <c r="DC136" s="399">
        <v>672.50763111344349</v>
      </c>
      <c r="DD136" s="399">
        <v>0</v>
      </c>
      <c r="DE136" s="399">
        <v>0</v>
      </c>
      <c r="DF136" s="399">
        <v>0</v>
      </c>
      <c r="DG136" s="399">
        <v>80.032114364182689</v>
      </c>
      <c r="DH136" s="399">
        <v>0</v>
      </c>
      <c r="DI136" s="399">
        <v>-484.23128996722744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-63.758353847777016</v>
      </c>
      <c r="DP136" s="399">
        <v>-11.895026427202851</v>
      </c>
      <c r="DQ136" s="399">
        <v>0</v>
      </c>
      <c r="DR136" s="399">
        <v>0</v>
      </c>
      <c r="DS136" s="399"/>
      <c r="DT136" s="399"/>
      <c r="DU136" s="399"/>
      <c r="DV136" s="399">
        <v>15092.225732933746</v>
      </c>
      <c r="DW136" s="399">
        <v>0</v>
      </c>
      <c r="DX136" s="399">
        <v>0</v>
      </c>
      <c r="DY136" s="399">
        <v>-10300.521939999999</v>
      </c>
      <c r="DZ136" s="399">
        <v>672.68219999999928</v>
      </c>
      <c r="EA136" s="399">
        <v>0</v>
      </c>
      <c r="EB136" s="399">
        <v>0</v>
      </c>
      <c r="EC136" s="399">
        <v>-9207.2610591900448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227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2334</v>
      </c>
      <c r="D137" s="399" t="s">
        <v>533</v>
      </c>
      <c r="E137" s="399" t="s">
        <v>890</v>
      </c>
      <c r="F137" s="399" t="s">
        <v>1239</v>
      </c>
      <c r="G137" s="399" t="s">
        <v>1239</v>
      </c>
      <c r="H137" s="399" t="s">
        <v>1239</v>
      </c>
      <c r="I137" s="399" t="s">
        <v>893</v>
      </c>
      <c r="J137" s="399" t="s">
        <v>2329</v>
      </c>
      <c r="K137" s="789">
        <v>44682</v>
      </c>
      <c r="L137" s="399">
        <v>0</v>
      </c>
      <c r="M137" s="399">
        <v>0</v>
      </c>
      <c r="N137" s="399">
        <v>15.193</v>
      </c>
      <c r="O137" s="399">
        <v>15.193</v>
      </c>
      <c r="P137" s="399">
        <v>15.193</v>
      </c>
      <c r="Q137" s="399">
        <v>15.193</v>
      </c>
      <c r="R137" s="399"/>
      <c r="S137" s="399">
        <v>2109.83</v>
      </c>
      <c r="T137" s="399">
        <v>205.96</v>
      </c>
      <c r="U137" s="399"/>
      <c r="V137" s="399">
        <v>35183.797469999998</v>
      </c>
      <c r="W137" s="399">
        <v>35183.797469999998</v>
      </c>
      <c r="X137" s="399">
        <v>20762.146080000002</v>
      </c>
      <c r="Y137" s="399">
        <v>0</v>
      </c>
      <c r="Z137" s="399">
        <v>805.95021564147748</v>
      </c>
      <c r="AA137" s="399">
        <v>0</v>
      </c>
      <c r="AB137" s="399">
        <v>0</v>
      </c>
      <c r="AC137" s="399">
        <v>0</v>
      </c>
      <c r="AD137" s="399">
        <v>9091.1273854832489</v>
      </c>
      <c r="AE137" s="399">
        <v>21864.70047934297</v>
      </c>
      <c r="AF137" s="399">
        <v>3052.8174068280391</v>
      </c>
      <c r="AG137" s="399">
        <v>76.395736823850612</v>
      </c>
      <c r="AH137" s="399">
        <v>0</v>
      </c>
      <c r="AI137" s="399">
        <v>0</v>
      </c>
      <c r="AJ137" s="399">
        <v>0</v>
      </c>
      <c r="AK137" s="399">
        <v>0</v>
      </c>
      <c r="AL137" s="399">
        <v>143.16623366686636</v>
      </c>
      <c r="AM137" s="399"/>
      <c r="AN137" s="399">
        <v>9.3812624096391826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140.26979556248614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3193.0872023905254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20758.046399999999</v>
      </c>
      <c r="CJ137" s="399">
        <v>-14425.781069999997</v>
      </c>
      <c r="CK137" s="399"/>
      <c r="CL137" s="399"/>
      <c r="CM137" s="399"/>
      <c r="CN137" s="399"/>
      <c r="CO137" s="399">
        <v>-14590.293689999999</v>
      </c>
      <c r="CP137" s="399">
        <v>168.64229999999992</v>
      </c>
      <c r="CQ137" s="399">
        <v>31</v>
      </c>
      <c r="CR137" s="399">
        <v>-1082.727805833114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-1135.7711082158876</v>
      </c>
      <c r="DA137" s="399">
        <v>0</v>
      </c>
      <c r="DB137" s="399">
        <v>0</v>
      </c>
      <c r="DC137" s="399">
        <v>168.59853535372667</v>
      </c>
      <c r="DD137" s="399">
        <v>0</v>
      </c>
      <c r="DE137" s="399">
        <v>0</v>
      </c>
      <c r="DF137" s="399">
        <v>0</v>
      </c>
      <c r="DG137" s="399">
        <v>7.7467070363618689</v>
      </c>
      <c r="DH137" s="399">
        <v>0</v>
      </c>
      <c r="DI137" s="399">
        <v>-105.61574881968738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-15.98430200338727</v>
      </c>
      <c r="DP137" s="399">
        <v>-1.7018891842404251</v>
      </c>
      <c r="DQ137" s="399">
        <v>0</v>
      </c>
      <c r="DR137" s="399">
        <v>0</v>
      </c>
      <c r="DS137" s="399"/>
      <c r="DT137" s="399"/>
      <c r="DU137" s="399"/>
      <c r="DV137" s="399">
        <v>21864.70047934297</v>
      </c>
      <c r="DW137" s="399">
        <v>0</v>
      </c>
      <c r="DX137" s="399">
        <v>0</v>
      </c>
      <c r="DY137" s="399">
        <v>-14590.293689999999</v>
      </c>
      <c r="DZ137" s="399">
        <v>168.64229999999998</v>
      </c>
      <c r="EA137" s="399">
        <v>0</v>
      </c>
      <c r="EB137" s="399">
        <v>0</v>
      </c>
      <c r="EC137" s="399">
        <v>-13338.920902501972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227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956</v>
      </c>
      <c r="C138" s="399" t="s">
        <v>2334</v>
      </c>
      <c r="D138" s="399" t="s">
        <v>533</v>
      </c>
      <c r="E138" s="399" t="s">
        <v>890</v>
      </c>
      <c r="F138" s="399" t="s">
        <v>1239</v>
      </c>
      <c r="G138" s="399" t="s">
        <v>1239</v>
      </c>
      <c r="H138" s="399" t="s">
        <v>1239</v>
      </c>
      <c r="I138" s="399" t="s">
        <v>2326</v>
      </c>
      <c r="J138" s="399" t="s">
        <v>2329</v>
      </c>
      <c r="K138" s="789">
        <v>44682</v>
      </c>
      <c r="L138" s="399">
        <v>0</v>
      </c>
      <c r="M138" s="399">
        <v>0</v>
      </c>
      <c r="N138" s="399">
        <v>421.315</v>
      </c>
      <c r="O138" s="399">
        <v>421.315</v>
      </c>
      <c r="P138" s="399">
        <v>421.315</v>
      </c>
      <c r="Q138" s="399">
        <v>421.315</v>
      </c>
      <c r="R138" s="399"/>
      <c r="S138" s="399">
        <v>72.319999999999993</v>
      </c>
      <c r="T138" s="399">
        <v>205.96</v>
      </c>
      <c r="U138" s="399"/>
      <c r="V138" s="399">
        <v>117243.5382</v>
      </c>
      <c r="W138" s="399">
        <v>117243.5382</v>
      </c>
      <c r="X138" s="399">
        <v>118713.92754999999</v>
      </c>
      <c r="Y138" s="399">
        <v>0</v>
      </c>
      <c r="Z138" s="399">
        <v>22349.694932073264</v>
      </c>
      <c r="AA138" s="399">
        <v>0</v>
      </c>
      <c r="AB138" s="399">
        <v>0</v>
      </c>
      <c r="AC138" s="399">
        <v>0</v>
      </c>
      <c r="AD138" s="399">
        <v>0</v>
      </c>
      <c r="AE138" s="399">
        <v>0</v>
      </c>
      <c r="AF138" s="399">
        <v>84657.260959504725</v>
      </c>
      <c r="AG138" s="399">
        <v>2118.5197038070569</v>
      </c>
      <c r="AH138" s="399">
        <v>0</v>
      </c>
      <c r="AI138" s="399">
        <v>0</v>
      </c>
      <c r="AJ138" s="399">
        <v>0</v>
      </c>
      <c r="AK138" s="399">
        <v>0</v>
      </c>
      <c r="AL138" s="399">
        <v>3970.1231973511358</v>
      </c>
      <c r="AM138" s="399"/>
      <c r="AN138" s="399">
        <v>260.15050168611418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3889.8024693878001</v>
      </c>
      <c r="BH138" s="399">
        <v>0</v>
      </c>
      <c r="BI138" s="399">
        <v>0</v>
      </c>
      <c r="BJ138" s="399">
        <v>0</v>
      </c>
      <c r="BK138" s="399">
        <v>0</v>
      </c>
      <c r="BL138" s="399">
        <v>0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88547.063428892521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118715.33639999999</v>
      </c>
      <c r="CJ138" s="399">
        <v>1471.7681999999913</v>
      </c>
      <c r="CK138" s="399"/>
      <c r="CL138" s="399"/>
      <c r="CM138" s="399"/>
      <c r="CN138" s="399"/>
      <c r="CO138" s="399">
        <v>-3206.2071499999997</v>
      </c>
      <c r="CP138" s="399">
        <v>4676.5964999999978</v>
      </c>
      <c r="CQ138" s="399">
        <v>31</v>
      </c>
      <c r="CR138" s="399">
        <v>1470.936546001336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0</v>
      </c>
      <c r="DA138" s="399">
        <v>0</v>
      </c>
      <c r="DB138" s="399">
        <v>0</v>
      </c>
      <c r="DC138" s="399">
        <v>4675.3828685944463</v>
      </c>
      <c r="DD138" s="399">
        <v>0</v>
      </c>
      <c r="DE138" s="399">
        <v>0</v>
      </c>
      <c r="DF138" s="399">
        <v>0</v>
      </c>
      <c r="DG138" s="399">
        <v>214.82287073157431</v>
      </c>
      <c r="DH138" s="399">
        <v>0</v>
      </c>
      <c r="DI138" s="399">
        <v>-2928.8158503236082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-443.25848736636044</v>
      </c>
      <c r="DP138" s="399">
        <v>-47.194855634716987</v>
      </c>
      <c r="DQ138" s="399">
        <v>0</v>
      </c>
      <c r="DR138" s="399">
        <v>0</v>
      </c>
      <c r="DS138" s="399"/>
      <c r="DT138" s="399"/>
      <c r="DU138" s="399"/>
      <c r="DV138" s="399">
        <v>0</v>
      </c>
      <c r="DW138" s="399">
        <v>0</v>
      </c>
      <c r="DX138" s="399">
        <v>0</v>
      </c>
      <c r="DY138" s="399">
        <v>-3206.207150000002</v>
      </c>
      <c r="DZ138" s="399">
        <v>4676.5964999999997</v>
      </c>
      <c r="EA138" s="399">
        <v>0</v>
      </c>
      <c r="EB138" s="399">
        <v>0</v>
      </c>
      <c r="EC138" s="399">
        <v>0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227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956</v>
      </c>
      <c r="C139" s="399" t="s">
        <v>2334</v>
      </c>
      <c r="D139" s="399" t="s">
        <v>533</v>
      </c>
      <c r="E139" s="399" t="s">
        <v>890</v>
      </c>
      <c r="F139" s="399" t="s">
        <v>1239</v>
      </c>
      <c r="G139" s="399" t="s">
        <v>1239</v>
      </c>
      <c r="H139" s="399" t="s">
        <v>1239</v>
      </c>
      <c r="I139" s="399" t="s">
        <v>1239</v>
      </c>
      <c r="J139" s="399" t="s">
        <v>2329</v>
      </c>
      <c r="K139" s="789">
        <v>44682</v>
      </c>
      <c r="L139" s="399">
        <v>2384</v>
      </c>
      <c r="M139" s="399">
        <v>2384</v>
      </c>
      <c r="N139" s="399">
        <v>0</v>
      </c>
      <c r="O139" s="399">
        <v>0</v>
      </c>
      <c r="P139" s="399">
        <v>0</v>
      </c>
      <c r="Q139" s="399">
        <v>0</v>
      </c>
      <c r="R139" s="399">
        <v>26.79</v>
      </c>
      <c r="S139" s="399"/>
      <c r="T139" s="399"/>
      <c r="U139" s="399">
        <v>63867.360000000001</v>
      </c>
      <c r="V139" s="399"/>
      <c r="W139" s="399">
        <v>63867.360000000001</v>
      </c>
      <c r="X139" s="399">
        <v>36546.720000000001</v>
      </c>
      <c r="Y139" s="399">
        <v>0</v>
      </c>
      <c r="Z139" s="399">
        <v>0</v>
      </c>
      <c r="AA139" s="399">
        <v>0</v>
      </c>
      <c r="AB139" s="399">
        <v>0</v>
      </c>
      <c r="AC139" s="399">
        <v>0</v>
      </c>
      <c r="AD139" s="399">
        <v>24013.037947405919</v>
      </c>
      <c r="AE139" s="399">
        <v>39862.477353125389</v>
      </c>
      <c r="AF139" s="399"/>
      <c r="AG139" s="399"/>
      <c r="AH139" s="399"/>
      <c r="AI139" s="399">
        <v>0</v>
      </c>
      <c r="AJ139" s="399">
        <v>0</v>
      </c>
      <c r="AK139" s="399">
        <v>0</v>
      </c>
      <c r="AL139" s="399">
        <v>0</v>
      </c>
      <c r="AM139" s="399"/>
      <c r="AN139" s="399">
        <v>0</v>
      </c>
      <c r="AO139" s="399">
        <v>0</v>
      </c>
      <c r="AP139" s="399">
        <v>0</v>
      </c>
      <c r="AQ139" s="399">
        <v>0</v>
      </c>
      <c r="AR139" s="399">
        <v>0</v>
      </c>
      <c r="AS139" s="399"/>
      <c r="AT139" s="399"/>
      <c r="AU139" s="399">
        <v>0</v>
      </c>
      <c r="AV139" s="399">
        <v>0</v>
      </c>
      <c r="AW139" s="399">
        <v>0</v>
      </c>
      <c r="AX139" s="399"/>
      <c r="AY139" s="399"/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/>
      <c r="BG139" s="399">
        <v>0</v>
      </c>
      <c r="BH139" s="399">
        <v>0</v>
      </c>
      <c r="BI139" s="399">
        <v>726.62</v>
      </c>
      <c r="BJ139" s="399">
        <v>3371.92</v>
      </c>
      <c r="BK139" s="399">
        <v>60757.7</v>
      </c>
      <c r="BL139" s="399">
        <v>12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0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36546.720000000001</v>
      </c>
      <c r="CJ139" s="399">
        <v>-27320.670000000006</v>
      </c>
      <c r="CK139" s="399"/>
      <c r="CL139" s="399"/>
      <c r="CM139" s="399"/>
      <c r="CN139" s="399"/>
      <c r="CO139" s="399">
        <v>-27320.639999999999</v>
      </c>
      <c r="CP139" s="399">
        <v>0</v>
      </c>
      <c r="CQ139" s="399">
        <v>31</v>
      </c>
      <c r="CR139" s="399">
        <v>-2999.9925822958176</v>
      </c>
      <c r="CS139" s="399">
        <v>0</v>
      </c>
      <c r="CT139" s="399">
        <v>0</v>
      </c>
      <c r="CU139" s="399">
        <v>0</v>
      </c>
      <c r="CV139" s="399">
        <v>0</v>
      </c>
      <c r="CW139" s="399"/>
      <c r="CX139" s="399"/>
      <c r="CY139" s="399"/>
      <c r="CZ139" s="399">
        <v>-2999.9925822958176</v>
      </c>
      <c r="DA139" s="399">
        <v>0</v>
      </c>
      <c r="DB139" s="399">
        <v>0</v>
      </c>
      <c r="DC139" s="399"/>
      <c r="DD139" s="399"/>
      <c r="DE139" s="399">
        <v>0</v>
      </c>
      <c r="DF139" s="399">
        <v>0</v>
      </c>
      <c r="DG139" s="399">
        <v>0</v>
      </c>
      <c r="DH139" s="399">
        <v>0</v>
      </c>
      <c r="DI139" s="399">
        <v>0</v>
      </c>
      <c r="DJ139" s="399"/>
      <c r="DK139" s="399">
        <v>0</v>
      </c>
      <c r="DL139" s="399">
        <v>0</v>
      </c>
      <c r="DM139" s="399"/>
      <c r="DN139" s="399">
        <v>0</v>
      </c>
      <c r="DO139" s="399">
        <v>0</v>
      </c>
      <c r="DP139" s="399">
        <v>0</v>
      </c>
      <c r="DQ139" s="399">
        <v>0</v>
      </c>
      <c r="DR139" s="399">
        <v>0</v>
      </c>
      <c r="DS139" s="399"/>
      <c r="DT139" s="399"/>
      <c r="DU139" s="399">
        <v>39862.477353125389</v>
      </c>
      <c r="DV139" s="399"/>
      <c r="DW139" s="399">
        <v>0</v>
      </c>
      <c r="DX139" s="399">
        <v>0</v>
      </c>
      <c r="DY139" s="399">
        <v>-27320.639999999999</v>
      </c>
      <c r="DZ139" s="399"/>
      <c r="EA139" s="399">
        <v>0</v>
      </c>
      <c r="EB139" s="399"/>
      <c r="EC139" s="399">
        <v>-24318.761324604955</v>
      </c>
      <c r="ED139" s="399"/>
      <c r="EE139" s="399">
        <v>0</v>
      </c>
      <c r="EF139" s="399">
        <v>0</v>
      </c>
      <c r="EG139" s="399"/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/>
      <c r="EN139" s="399"/>
      <c r="EO139" s="399">
        <v>0</v>
      </c>
      <c r="EP139" s="399">
        <v>0</v>
      </c>
      <c r="EQ139" s="399"/>
      <c r="ER139" s="399">
        <v>0</v>
      </c>
      <c r="ES139" s="399"/>
      <c r="ET139" s="399">
        <v>0</v>
      </c>
      <c r="EU139" s="399"/>
      <c r="EV139" s="399">
        <v>227</v>
      </c>
      <c r="EW139" s="399"/>
      <c r="EX139" s="399"/>
      <c r="EY139" s="399"/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956</v>
      </c>
      <c r="C140" s="399" t="s">
        <v>2328</v>
      </c>
      <c r="D140" s="399" t="s">
        <v>1826</v>
      </c>
      <c r="E140" s="399" t="s">
        <v>918</v>
      </c>
      <c r="F140" s="399" t="s">
        <v>1239</v>
      </c>
      <c r="G140" s="399" t="s">
        <v>1239</v>
      </c>
      <c r="H140" s="399" t="s">
        <v>1239</v>
      </c>
      <c r="I140" s="399" t="s">
        <v>1239</v>
      </c>
      <c r="J140" s="399" t="s">
        <v>2329</v>
      </c>
      <c r="K140" s="789">
        <v>44682</v>
      </c>
      <c r="L140" s="399">
        <v>0</v>
      </c>
      <c r="M140" s="399">
        <v>0</v>
      </c>
      <c r="N140" s="399">
        <v>14.492000000000001</v>
      </c>
      <c r="O140" s="399">
        <v>14.492000000000001</v>
      </c>
      <c r="P140" s="399">
        <v>14.492000000000001</v>
      </c>
      <c r="Q140" s="399">
        <v>14.492000000000001</v>
      </c>
      <c r="R140" s="399"/>
      <c r="S140" s="399">
        <v>425.49</v>
      </c>
      <c r="T140" s="399">
        <v>205.96</v>
      </c>
      <c r="U140" s="399"/>
      <c r="V140" s="399">
        <v>9150.9734000000008</v>
      </c>
      <c r="W140" s="399">
        <v>9150.9734000000008</v>
      </c>
      <c r="X140" s="399">
        <v>6848.6293600000008</v>
      </c>
      <c r="Y140" s="399">
        <v>0</v>
      </c>
      <c r="Z140" s="399">
        <v>883.63671148285118</v>
      </c>
      <c r="AA140" s="399">
        <v>0</v>
      </c>
      <c r="AB140" s="399">
        <v>0</v>
      </c>
      <c r="AC140" s="399">
        <v>0</v>
      </c>
      <c r="AD140" s="399">
        <v>1174.7545005001784</v>
      </c>
      <c r="AE140" s="399">
        <v>3609.0646401385411</v>
      </c>
      <c r="AF140" s="399">
        <v>2911.9614203746428</v>
      </c>
      <c r="AG140" s="399">
        <v>72.870862769120194</v>
      </c>
      <c r="AH140" s="399">
        <v>0</v>
      </c>
      <c r="AI140" s="399">
        <v>0</v>
      </c>
      <c r="AJ140" s="399">
        <v>0</v>
      </c>
      <c r="AK140" s="399">
        <v>0</v>
      </c>
      <c r="AL140" s="399">
        <v>136.56059094979449</v>
      </c>
      <c r="AM140" s="399"/>
      <c r="AN140" s="399">
        <v>15.679665205171343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346.53945715625241</v>
      </c>
      <c r="BH140" s="399">
        <v>0</v>
      </c>
      <c r="BI140" s="399">
        <v>49.68</v>
      </c>
      <c r="BJ140" s="399">
        <v>230.49</v>
      </c>
      <c r="BK140" s="399">
        <v>2428.0300000000002</v>
      </c>
      <c r="BL140" s="399">
        <v>54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>
        <v>3258.5008775308952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6847.6841999999997</v>
      </c>
      <c r="CJ140" s="399">
        <v>-2303.3192000000017</v>
      </c>
      <c r="CK140" s="399"/>
      <c r="CL140" s="399"/>
      <c r="CM140" s="399"/>
      <c r="CN140" s="399"/>
      <c r="CO140" s="399">
        <v>-2463.2052400000002</v>
      </c>
      <c r="CP140" s="399">
        <v>160.86119999999994</v>
      </c>
      <c r="CQ140" s="399">
        <v>31</v>
      </c>
      <c r="CR140" s="399">
        <v>-100.69383714318883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-146.7642201389931</v>
      </c>
      <c r="DA140" s="399">
        <v>0</v>
      </c>
      <c r="DB140" s="399">
        <v>0</v>
      </c>
      <c r="DC140" s="399">
        <v>160.81945464004502</v>
      </c>
      <c r="DD140" s="399">
        <v>0</v>
      </c>
      <c r="DE140" s="399">
        <v>0</v>
      </c>
      <c r="DF140" s="399">
        <v>0</v>
      </c>
      <c r="DG140" s="399">
        <v>19.138401395428161</v>
      </c>
      <c r="DH140" s="399">
        <v>0</v>
      </c>
      <c r="DI140" s="399">
        <v>-115.79617593817136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-15.246791590409302</v>
      </c>
      <c r="DP140" s="399">
        <v>-2.8445055110891353</v>
      </c>
      <c r="DQ140" s="399">
        <v>0</v>
      </c>
      <c r="DR140" s="399">
        <v>0</v>
      </c>
      <c r="DS140" s="399"/>
      <c r="DT140" s="399"/>
      <c r="DU140" s="399"/>
      <c r="DV140" s="399">
        <v>3609.0646401385411</v>
      </c>
      <c r="DW140" s="399">
        <v>0</v>
      </c>
      <c r="DX140" s="399">
        <v>0</v>
      </c>
      <c r="DY140" s="399">
        <v>-2463.2052400000002</v>
      </c>
      <c r="DZ140" s="399">
        <v>160.86119999999983</v>
      </c>
      <c r="EA140" s="399">
        <v>0</v>
      </c>
      <c r="EB140" s="399">
        <v>0</v>
      </c>
      <c r="EC140" s="399">
        <v>-2201.769368499095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227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956</v>
      </c>
      <c r="C141" s="399" t="s">
        <v>2328</v>
      </c>
      <c r="D141" s="399" t="s">
        <v>2335</v>
      </c>
      <c r="E141" s="399" t="s">
        <v>894</v>
      </c>
      <c r="F141" s="399" t="s">
        <v>1239</v>
      </c>
      <c r="G141" s="399" t="s">
        <v>1239</v>
      </c>
      <c r="H141" s="399" t="s">
        <v>1239</v>
      </c>
      <c r="I141" s="399" t="s">
        <v>1239</v>
      </c>
      <c r="J141" s="399" t="s">
        <v>2329</v>
      </c>
      <c r="K141" s="789">
        <v>44682</v>
      </c>
      <c r="L141" s="399">
        <v>0</v>
      </c>
      <c r="M141" s="399">
        <v>0</v>
      </c>
      <c r="N141" s="399">
        <v>60.585000000000001</v>
      </c>
      <c r="O141" s="399">
        <v>60.585000000000001</v>
      </c>
      <c r="P141" s="399">
        <v>60.585000000000001</v>
      </c>
      <c r="Q141" s="399">
        <v>60.585000000000001</v>
      </c>
      <c r="R141" s="399"/>
      <c r="S141" s="399">
        <v>425.49</v>
      </c>
      <c r="T141" s="399">
        <v>205.96</v>
      </c>
      <c r="U141" s="399"/>
      <c r="V141" s="399">
        <v>38256.398249999998</v>
      </c>
      <c r="W141" s="399">
        <v>38256.398249999998</v>
      </c>
      <c r="X141" s="399">
        <v>28631.259300000002</v>
      </c>
      <c r="Y141" s="399">
        <v>0</v>
      </c>
      <c r="Z141" s="399">
        <v>3694.1160754339317</v>
      </c>
      <c r="AA141" s="399">
        <v>0</v>
      </c>
      <c r="AB141" s="399">
        <v>0</v>
      </c>
      <c r="AC141" s="399">
        <v>0</v>
      </c>
      <c r="AD141" s="399">
        <v>4911.157977698269</v>
      </c>
      <c r="AE141" s="399">
        <v>15087.99207996091</v>
      </c>
      <c r="AF141" s="399">
        <v>12173.694635205473</v>
      </c>
      <c r="AG141" s="399">
        <v>304.64264565740729</v>
      </c>
      <c r="AH141" s="399">
        <v>0</v>
      </c>
      <c r="AI141" s="399">
        <v>0</v>
      </c>
      <c r="AJ141" s="399">
        <v>0</v>
      </c>
      <c r="AK141" s="399">
        <v>0</v>
      </c>
      <c r="AL141" s="399">
        <v>570.90280173152769</v>
      </c>
      <c r="AM141" s="399"/>
      <c r="AN141" s="399">
        <v>65.55013224229269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1448.7367521261076</v>
      </c>
      <c r="BH141" s="399">
        <v>0</v>
      </c>
      <c r="BI141" s="399">
        <v>89.54</v>
      </c>
      <c r="BJ141" s="399">
        <v>420.97</v>
      </c>
      <c r="BK141" s="399">
        <v>3932.14</v>
      </c>
      <c r="BL141" s="399">
        <v>241</v>
      </c>
      <c r="BM141" s="399"/>
      <c r="BN141" s="399"/>
      <c r="BO141" s="399"/>
      <c r="BP141" s="399"/>
      <c r="BQ141" s="399"/>
      <c r="BR141" s="399">
        <v>3436.3812000000016</v>
      </c>
      <c r="BS141" s="399"/>
      <c r="BT141" s="399"/>
      <c r="BU141" s="399"/>
      <c r="BV141" s="399">
        <v>13622.43138733158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25196.957399999999</v>
      </c>
      <c r="CJ141" s="399">
        <v>-8468.9454000000042</v>
      </c>
      <c r="CK141" s="399"/>
      <c r="CL141" s="399"/>
      <c r="CM141" s="399"/>
      <c r="CN141" s="399"/>
      <c r="CO141" s="399">
        <v>-10297.632450000001</v>
      </c>
      <c r="CP141" s="399">
        <v>672.4934999999997</v>
      </c>
      <c r="CQ141" s="399">
        <v>31</v>
      </c>
      <c r="CR141" s="399">
        <v>-420.95888237098188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-613.55991423688283</v>
      </c>
      <c r="DA141" s="399">
        <v>0</v>
      </c>
      <c r="DB141" s="399">
        <v>0</v>
      </c>
      <c r="DC141" s="399">
        <v>672.31898008329699</v>
      </c>
      <c r="DD141" s="399">
        <v>0</v>
      </c>
      <c r="DE141" s="399">
        <v>0</v>
      </c>
      <c r="DF141" s="399">
        <v>0</v>
      </c>
      <c r="DG141" s="399">
        <v>80.009663851919186</v>
      </c>
      <c r="DH141" s="399">
        <v>0</v>
      </c>
      <c r="DI141" s="399">
        <v>-484.09545398938144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-63.740468431199815</v>
      </c>
      <c r="DP141" s="399">
        <v>-11.891689648725858</v>
      </c>
      <c r="DQ141" s="399">
        <v>0</v>
      </c>
      <c r="DR141" s="399">
        <v>0</v>
      </c>
      <c r="DS141" s="399"/>
      <c r="DT141" s="399"/>
      <c r="DU141" s="399"/>
      <c r="DV141" s="399">
        <v>15087.99207996091</v>
      </c>
      <c r="DW141" s="399">
        <v>0</v>
      </c>
      <c r="DX141" s="399">
        <v>0</v>
      </c>
      <c r="DY141" s="399">
        <v>-10297.632449999999</v>
      </c>
      <c r="DZ141" s="399">
        <v>672.49350000000049</v>
      </c>
      <c r="EA141" s="399">
        <v>0</v>
      </c>
      <c r="EB141" s="399">
        <v>0</v>
      </c>
      <c r="EC141" s="399">
        <v>-9204.6782494146883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227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2328</v>
      </c>
      <c r="D142" s="399" t="s">
        <v>1826</v>
      </c>
      <c r="E142" s="399" t="s">
        <v>2336</v>
      </c>
      <c r="F142" s="399" t="s">
        <v>1239</v>
      </c>
      <c r="G142" s="399" t="s">
        <v>1239</v>
      </c>
      <c r="H142" s="399" t="s">
        <v>1239</v>
      </c>
      <c r="I142" s="399" t="s">
        <v>1239</v>
      </c>
      <c r="J142" s="399" t="s">
        <v>2329</v>
      </c>
      <c r="K142" s="789">
        <v>44682</v>
      </c>
      <c r="L142" s="399">
        <v>0</v>
      </c>
      <c r="M142" s="399">
        <v>0</v>
      </c>
      <c r="N142" s="399">
        <v>2.7709999999999999</v>
      </c>
      <c r="O142" s="399">
        <v>2.7709999999999999</v>
      </c>
      <c r="P142" s="399">
        <v>2.7709999999999999</v>
      </c>
      <c r="Q142" s="399">
        <v>2.7709999999999999</v>
      </c>
      <c r="R142" s="399"/>
      <c r="S142" s="399">
        <v>425.49</v>
      </c>
      <c r="T142" s="399">
        <v>205.96</v>
      </c>
      <c r="U142" s="399"/>
      <c r="V142" s="399">
        <v>1749.7479499999999</v>
      </c>
      <c r="W142" s="399">
        <v>1749.7479499999999</v>
      </c>
      <c r="X142" s="399">
        <v>1309.51918</v>
      </c>
      <c r="Y142" s="399">
        <v>0</v>
      </c>
      <c r="Z142" s="399">
        <v>168.95924147936657</v>
      </c>
      <c r="AA142" s="399">
        <v>0</v>
      </c>
      <c r="AB142" s="399">
        <v>0</v>
      </c>
      <c r="AC142" s="399">
        <v>0</v>
      </c>
      <c r="AD142" s="399">
        <v>224.62356616657428</v>
      </c>
      <c r="AE142" s="399">
        <v>690.08543457244662</v>
      </c>
      <c r="AF142" s="399">
        <v>556.79306485358359</v>
      </c>
      <c r="AG142" s="399">
        <v>13.933560635746069</v>
      </c>
      <c r="AH142" s="399">
        <v>0</v>
      </c>
      <c r="AI142" s="399">
        <v>0</v>
      </c>
      <c r="AJ142" s="399">
        <v>0</v>
      </c>
      <c r="AK142" s="399">
        <v>0</v>
      </c>
      <c r="AL142" s="399">
        <v>26.111606232533845</v>
      </c>
      <c r="AM142" s="399"/>
      <c r="AN142" s="399">
        <v>2.9980922083583899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66.261443263868017</v>
      </c>
      <c r="BH142" s="399">
        <v>0</v>
      </c>
      <c r="BI142" s="399">
        <v>12.19</v>
      </c>
      <c r="BJ142" s="399">
        <v>56.58</v>
      </c>
      <c r="BK142" s="399">
        <v>471.55</v>
      </c>
      <c r="BL142" s="399">
        <v>13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623.05450811745163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1309.0466000000001</v>
      </c>
      <c r="CJ142" s="399">
        <v>-440.73134999999979</v>
      </c>
      <c r="CK142" s="399"/>
      <c r="CL142" s="399"/>
      <c r="CM142" s="399"/>
      <c r="CN142" s="399"/>
      <c r="CO142" s="399">
        <v>-470.98686999999995</v>
      </c>
      <c r="CP142" s="399">
        <v>30.758099999999985</v>
      </c>
      <c r="CQ142" s="399">
        <v>31</v>
      </c>
      <c r="CR142" s="399">
        <v>-19.253562153172652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-28.062631383187295</v>
      </c>
      <c r="DA142" s="399">
        <v>0</v>
      </c>
      <c r="DB142" s="399">
        <v>0</v>
      </c>
      <c r="DC142" s="399">
        <v>30.750117913853614</v>
      </c>
      <c r="DD142" s="399">
        <v>0</v>
      </c>
      <c r="DE142" s="399">
        <v>0</v>
      </c>
      <c r="DF142" s="399">
        <v>0</v>
      </c>
      <c r="DG142" s="399">
        <v>3.659433498946413</v>
      </c>
      <c r="DH142" s="399">
        <v>0</v>
      </c>
      <c r="DI142" s="399">
        <v>-22.141264388950646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-2.915322902085574</v>
      </c>
      <c r="DP142" s="399">
        <v>-0.54389489174910244</v>
      </c>
      <c r="DQ142" s="399">
        <v>0</v>
      </c>
      <c r="DR142" s="399">
        <v>0</v>
      </c>
      <c r="DS142" s="399"/>
      <c r="DT142" s="399"/>
      <c r="DU142" s="399"/>
      <c r="DV142" s="399">
        <v>690.08543457244662</v>
      </c>
      <c r="DW142" s="399">
        <v>0</v>
      </c>
      <c r="DX142" s="399">
        <v>0</v>
      </c>
      <c r="DY142" s="399">
        <v>-470.98686999999995</v>
      </c>
      <c r="DZ142" s="399">
        <v>30.758100000000013</v>
      </c>
      <c r="EA142" s="399">
        <v>0</v>
      </c>
      <c r="EB142" s="399">
        <v>0</v>
      </c>
      <c r="EC142" s="399">
        <v>-420.99799338331434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227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956</v>
      </c>
      <c r="C143" s="399" t="s">
        <v>2328</v>
      </c>
      <c r="D143" s="399" t="s">
        <v>2337</v>
      </c>
      <c r="E143" s="399" t="s">
        <v>2338</v>
      </c>
      <c r="F143" s="399" t="s">
        <v>2339</v>
      </c>
      <c r="G143" s="399" t="s">
        <v>1239</v>
      </c>
      <c r="H143" s="399" t="s">
        <v>1239</v>
      </c>
      <c r="I143" s="399" t="s">
        <v>1239</v>
      </c>
      <c r="J143" s="399" t="s">
        <v>2329</v>
      </c>
      <c r="K143" s="789">
        <v>44682</v>
      </c>
      <c r="L143" s="399">
        <v>0</v>
      </c>
      <c r="M143" s="399">
        <v>0</v>
      </c>
      <c r="N143" s="399">
        <v>18.734999999999999</v>
      </c>
      <c r="O143" s="399">
        <v>18.734999999999999</v>
      </c>
      <c r="P143" s="399">
        <v>18.734999999999999</v>
      </c>
      <c r="Q143" s="399">
        <v>18.734999999999999</v>
      </c>
      <c r="R143" s="399"/>
      <c r="S143" s="399">
        <v>234.02</v>
      </c>
      <c r="T143" s="399">
        <v>113.28</v>
      </c>
      <c r="U143" s="399"/>
      <c r="V143" s="399">
        <v>6506.6655000000001</v>
      </c>
      <c r="W143" s="399">
        <v>6506.6655000000001</v>
      </c>
      <c r="X143" s="399">
        <v>4869.4138499999999</v>
      </c>
      <c r="Y143" s="399">
        <v>0</v>
      </c>
      <c r="Z143" s="399">
        <v>628.29240852174723</v>
      </c>
      <c r="AA143" s="399">
        <v>0</v>
      </c>
      <c r="AB143" s="399">
        <v>0</v>
      </c>
      <c r="AC143" s="399">
        <v>0</v>
      </c>
      <c r="AD143" s="399">
        <v>835.28595513241578</v>
      </c>
      <c r="AE143" s="399">
        <v>2566.1540379621479</v>
      </c>
      <c r="AF143" s="399">
        <v>2070.4925797609239</v>
      </c>
      <c r="AG143" s="399">
        <v>51.813385846584723</v>
      </c>
      <c r="AH143" s="399">
        <v>0</v>
      </c>
      <c r="AI143" s="399">
        <v>0</v>
      </c>
      <c r="AJ143" s="399">
        <v>0</v>
      </c>
      <c r="AK143" s="399">
        <v>0</v>
      </c>
      <c r="AL143" s="399">
        <v>97.098707514105698</v>
      </c>
      <c r="AM143" s="399"/>
      <c r="AN143" s="399">
        <v>11.148715856361237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246.40002769820089</v>
      </c>
      <c r="BH143" s="399">
        <v>0</v>
      </c>
      <c r="BI143" s="399">
        <v>46.85</v>
      </c>
      <c r="BJ143" s="399">
        <v>216.32</v>
      </c>
      <c r="BK143" s="399">
        <v>1802.58</v>
      </c>
      <c r="BL143" s="399">
        <v>2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2316.892607459125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4870.7133999999987</v>
      </c>
      <c r="CJ143" s="399">
        <v>-1635.982100000002</v>
      </c>
      <c r="CK143" s="399"/>
      <c r="CL143" s="399"/>
      <c r="CM143" s="399"/>
      <c r="CN143" s="399"/>
      <c r="CO143" s="399">
        <v>-1751.5351500000002</v>
      </c>
      <c r="CP143" s="399">
        <v>114.28349999999989</v>
      </c>
      <c r="CQ143" s="399">
        <v>31</v>
      </c>
      <c r="CR143" s="399">
        <v>-71.59636153619158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-104.35379625774408</v>
      </c>
      <c r="DA143" s="399">
        <v>0</v>
      </c>
      <c r="DB143" s="399">
        <v>0</v>
      </c>
      <c r="DC143" s="399">
        <v>114.34749278739446</v>
      </c>
      <c r="DD143" s="399">
        <v>0</v>
      </c>
      <c r="DE143" s="399">
        <v>0</v>
      </c>
      <c r="DF143" s="399">
        <v>0</v>
      </c>
      <c r="DG143" s="399">
        <v>13.607981822994162</v>
      </c>
      <c r="DH143" s="399">
        <v>0</v>
      </c>
      <c r="DI143" s="399">
        <v>-82.334580866056399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-10.840929633278805</v>
      </c>
      <c r="DP143" s="399">
        <v>-2.0225293895004377</v>
      </c>
      <c r="DQ143" s="399">
        <v>0</v>
      </c>
      <c r="DR143" s="399">
        <v>0</v>
      </c>
      <c r="DS143" s="399"/>
      <c r="DT143" s="399"/>
      <c r="DU143" s="399"/>
      <c r="DV143" s="399">
        <v>2566.1540379621479</v>
      </c>
      <c r="DW143" s="399">
        <v>0</v>
      </c>
      <c r="DX143" s="399">
        <v>0</v>
      </c>
      <c r="DY143" s="399">
        <v>-1751.5351500000002</v>
      </c>
      <c r="DZ143" s="399">
        <v>114.2835</v>
      </c>
      <c r="EA143" s="399">
        <v>0</v>
      </c>
      <c r="EB143" s="399">
        <v>0</v>
      </c>
      <c r="EC143" s="399">
        <v>-1565.5245663370604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227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956</v>
      </c>
      <c r="C144" s="399" t="s">
        <v>2328</v>
      </c>
      <c r="D144" s="399" t="s">
        <v>2335</v>
      </c>
      <c r="E144" s="399" t="s">
        <v>894</v>
      </c>
      <c r="F144" s="399" t="s">
        <v>2342</v>
      </c>
      <c r="G144" s="399" t="s">
        <v>2340</v>
      </c>
      <c r="H144" s="399" t="s">
        <v>1239</v>
      </c>
      <c r="I144" s="399" t="s">
        <v>1239</v>
      </c>
      <c r="J144" s="399" t="s">
        <v>2329</v>
      </c>
      <c r="K144" s="789">
        <v>44682</v>
      </c>
      <c r="L144" s="399">
        <v>0</v>
      </c>
      <c r="M144" s="399">
        <v>0</v>
      </c>
      <c r="N144" s="399">
        <v>0</v>
      </c>
      <c r="O144" s="399">
        <v>0</v>
      </c>
      <c r="P144" s="399">
        <v>0</v>
      </c>
      <c r="Q144" s="399">
        <v>0</v>
      </c>
      <c r="R144" s="399"/>
      <c r="S144" s="399"/>
      <c r="T144" s="399"/>
      <c r="U144" s="399"/>
      <c r="V144" s="399"/>
      <c r="W144" s="399"/>
      <c r="X144" s="399"/>
      <c r="Y144" s="399"/>
      <c r="Z144" s="399"/>
      <c r="AA144" s="399">
        <v>0</v>
      </c>
      <c r="AB144" s="399"/>
      <c r="AC144" s="399"/>
      <c r="AD144" s="399"/>
      <c r="AE144" s="399"/>
      <c r="AF144" s="399"/>
      <c r="AG144" s="399"/>
      <c r="AH144" s="399"/>
      <c r="AI144" s="399"/>
      <c r="AJ144" s="399"/>
      <c r="AK144" s="399"/>
      <c r="AL144" s="399"/>
      <c r="AM144" s="399"/>
      <c r="AN144" s="399"/>
      <c r="AO144" s="399"/>
      <c r="AP144" s="399"/>
      <c r="AQ144" s="399"/>
      <c r="AR144" s="399"/>
      <c r="AS144" s="399"/>
      <c r="AT144" s="399"/>
      <c r="AU144" s="399"/>
      <c r="AV144" s="399"/>
      <c r="AW144" s="399"/>
      <c r="AX144" s="399"/>
      <c r="AY144" s="399"/>
      <c r="AZ144" s="399">
        <v>0</v>
      </c>
      <c r="BA144" s="399"/>
      <c r="BB144" s="399"/>
      <c r="BC144" s="399"/>
      <c r="BD144" s="399"/>
      <c r="BE144" s="399"/>
      <c r="BF144" s="399"/>
      <c r="BG144" s="399"/>
      <c r="BH144" s="399"/>
      <c r="BI144" s="399">
        <v>0.33</v>
      </c>
      <c r="BJ144" s="399">
        <v>1.58</v>
      </c>
      <c r="BK144" s="399">
        <v>14.5</v>
      </c>
      <c r="BL144" s="399">
        <v>1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/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/>
      <c r="CJ144" s="399">
        <v>-0.03</v>
      </c>
      <c r="CK144" s="399"/>
      <c r="CL144" s="399"/>
      <c r="CM144" s="399"/>
      <c r="CN144" s="399"/>
      <c r="CO144" s="399">
        <v>0</v>
      </c>
      <c r="CP144" s="399">
        <v>0</v>
      </c>
      <c r="CQ144" s="399">
        <v>31</v>
      </c>
      <c r="CR144" s="399"/>
      <c r="CS144" s="399"/>
      <c r="CT144" s="399"/>
      <c r="CU144" s="399"/>
      <c r="CV144" s="399"/>
      <c r="CW144" s="399"/>
      <c r="CX144" s="399"/>
      <c r="CY144" s="399"/>
      <c r="CZ144" s="399"/>
      <c r="DA144" s="399"/>
      <c r="DB144" s="399"/>
      <c r="DC144" s="399"/>
      <c r="DD144" s="399"/>
      <c r="DE144" s="399"/>
      <c r="DF144" s="399"/>
      <c r="DG144" s="399"/>
      <c r="DH144" s="399"/>
      <c r="DI144" s="399"/>
      <c r="DJ144" s="399"/>
      <c r="DK144" s="399">
        <v>0</v>
      </c>
      <c r="DL144" s="399"/>
      <c r="DM144" s="399"/>
      <c r="DN144" s="399"/>
      <c r="DO144" s="399"/>
      <c r="DP144" s="399"/>
      <c r="DQ144" s="399"/>
      <c r="DR144" s="399"/>
      <c r="DS144" s="399"/>
      <c r="DT144" s="399"/>
      <c r="DU144" s="399"/>
      <c r="DV144" s="399"/>
      <c r="DW144" s="399"/>
      <c r="DX144" s="399"/>
      <c r="DY144" s="399"/>
      <c r="DZ144" s="399"/>
      <c r="EA144" s="399"/>
      <c r="EB144" s="399"/>
      <c r="EC144" s="399"/>
      <c r="ED144" s="399"/>
      <c r="EE144" s="399"/>
      <c r="EF144" s="399"/>
      <c r="EG144" s="399"/>
      <c r="EH144" s="399"/>
      <c r="EI144" s="399"/>
      <c r="EJ144" s="399"/>
      <c r="EK144" s="399"/>
      <c r="EL144" s="399"/>
      <c r="EM144" s="399"/>
      <c r="EN144" s="399"/>
      <c r="EO144" s="399"/>
      <c r="EP144" s="399"/>
      <c r="EQ144" s="399"/>
      <c r="ER144" s="399"/>
      <c r="ES144" s="399"/>
      <c r="ET144" s="399"/>
      <c r="EU144" s="399"/>
      <c r="EV144" s="399">
        <v>227</v>
      </c>
      <c r="EW144" s="399"/>
      <c r="EX144" s="399"/>
      <c r="EY144" s="399"/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956</v>
      </c>
      <c r="C145" s="399" t="s">
        <v>2328</v>
      </c>
      <c r="D145" s="399" t="s">
        <v>2335</v>
      </c>
      <c r="E145" s="399" t="s">
        <v>894</v>
      </c>
      <c r="F145" s="399" t="s">
        <v>2342</v>
      </c>
      <c r="G145" s="399" t="s">
        <v>2340</v>
      </c>
      <c r="H145" s="399" t="s">
        <v>1239</v>
      </c>
      <c r="I145" s="399" t="s">
        <v>1239</v>
      </c>
      <c r="J145" s="399" t="s">
        <v>2329</v>
      </c>
      <c r="K145" s="789">
        <v>44682</v>
      </c>
      <c r="L145" s="399">
        <v>0</v>
      </c>
      <c r="M145" s="399">
        <v>0</v>
      </c>
      <c r="N145" s="399">
        <v>0.19500000000000001</v>
      </c>
      <c r="O145" s="399">
        <v>0.19500000000000001</v>
      </c>
      <c r="P145" s="399">
        <v>0.19500000000000001</v>
      </c>
      <c r="Q145" s="399">
        <v>0.19500000000000001</v>
      </c>
      <c r="R145" s="399"/>
      <c r="S145" s="399">
        <v>425.49</v>
      </c>
      <c r="T145" s="399">
        <v>205.96</v>
      </c>
      <c r="U145" s="399"/>
      <c r="V145" s="399">
        <v>123.13275000000002</v>
      </c>
      <c r="W145" s="399">
        <v>123.13275000000002</v>
      </c>
      <c r="X145" s="399">
        <v>92.153100000000009</v>
      </c>
      <c r="Y145" s="399">
        <v>0</v>
      </c>
      <c r="Z145" s="399">
        <v>11.889950230413744</v>
      </c>
      <c r="AA145" s="399">
        <v>0</v>
      </c>
      <c r="AB145" s="399">
        <v>0</v>
      </c>
      <c r="AC145" s="399">
        <v>0</v>
      </c>
      <c r="AD145" s="399">
        <v>15.807143775706239</v>
      </c>
      <c r="AE145" s="399">
        <v>48.562489982543163</v>
      </c>
      <c r="AF145" s="399">
        <v>39.182478400017615</v>
      </c>
      <c r="AG145" s="399">
        <v>0.98052844603770617</v>
      </c>
      <c r="AH145" s="399">
        <v>0</v>
      </c>
      <c r="AI145" s="399">
        <v>0</v>
      </c>
      <c r="AJ145" s="399">
        <v>0</v>
      </c>
      <c r="AK145" s="399">
        <v>0</v>
      </c>
      <c r="AL145" s="399">
        <v>1.8375183021811983</v>
      </c>
      <c r="AM145" s="399"/>
      <c r="AN145" s="399">
        <v>0.21098086634063012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4.662930868442535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/>
      <c r="BR145" s="399">
        <v>11.060400000000005</v>
      </c>
      <c r="BS145" s="399"/>
      <c r="BT145" s="399"/>
      <c r="BU145" s="399"/>
      <c r="BV145" s="399">
        <v>43.845409268460152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83.171999999999997</v>
      </c>
      <c r="CJ145" s="399">
        <v>-25.215600000000023</v>
      </c>
      <c r="CK145" s="399"/>
      <c r="CL145" s="399"/>
      <c r="CM145" s="399"/>
      <c r="CN145" s="399"/>
      <c r="CO145" s="399">
        <v>-33.144150000000003</v>
      </c>
      <c r="CP145" s="399">
        <v>2.164499999999999</v>
      </c>
      <c r="CQ145" s="399">
        <v>31</v>
      </c>
      <c r="CR145" s="399">
        <v>-1.3549060338753947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-1.9748152723643173</v>
      </c>
      <c r="DA145" s="399">
        <v>0</v>
      </c>
      <c r="DB145" s="399">
        <v>0</v>
      </c>
      <c r="DC145" s="399">
        <v>2.163938286972737</v>
      </c>
      <c r="DD145" s="399">
        <v>0</v>
      </c>
      <c r="DE145" s="399">
        <v>0</v>
      </c>
      <c r="DF145" s="399">
        <v>0</v>
      </c>
      <c r="DG145" s="399">
        <v>0.25752058184574178</v>
      </c>
      <c r="DH145" s="399">
        <v>0</v>
      </c>
      <c r="DI145" s="399">
        <v>-1.5581185694137059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-0.20515624897390383</v>
      </c>
      <c r="DP145" s="399">
        <v>-3.827481194192528E-2</v>
      </c>
      <c r="DQ145" s="399">
        <v>0</v>
      </c>
      <c r="DR145" s="399">
        <v>0</v>
      </c>
      <c r="DS145" s="399"/>
      <c r="DT145" s="399"/>
      <c r="DU145" s="399"/>
      <c r="DV145" s="399">
        <v>48.562489982543163</v>
      </c>
      <c r="DW145" s="399">
        <v>0</v>
      </c>
      <c r="DX145" s="399">
        <v>0</v>
      </c>
      <c r="DY145" s="399">
        <v>-33.144149999999996</v>
      </c>
      <c r="DZ145" s="399">
        <v>2.1644999999999968</v>
      </c>
      <c r="EA145" s="399">
        <v>0</v>
      </c>
      <c r="EB145" s="399">
        <v>0</v>
      </c>
      <c r="EC145" s="399">
        <v>-29.626347423221329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227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956</v>
      </c>
      <c r="C146" s="399" t="s">
        <v>2328</v>
      </c>
      <c r="D146" s="399" t="s">
        <v>2335</v>
      </c>
      <c r="E146" s="399" t="s">
        <v>894</v>
      </c>
      <c r="F146" s="399" t="s">
        <v>2342</v>
      </c>
      <c r="G146" s="399" t="s">
        <v>2341</v>
      </c>
      <c r="H146" s="399" t="s">
        <v>1239</v>
      </c>
      <c r="I146" s="399" t="s">
        <v>1239</v>
      </c>
      <c r="J146" s="399" t="s">
        <v>2329</v>
      </c>
      <c r="K146" s="789">
        <v>44682</v>
      </c>
      <c r="L146" s="399">
        <v>0</v>
      </c>
      <c r="M146" s="399">
        <v>0</v>
      </c>
      <c r="N146" s="399">
        <v>0.127</v>
      </c>
      <c r="O146" s="399">
        <v>5.0799999999999998E-2</v>
      </c>
      <c r="P146" s="399">
        <v>0.127</v>
      </c>
      <c r="Q146" s="399">
        <v>5.0799999999999998E-2</v>
      </c>
      <c r="R146" s="399"/>
      <c r="S146" s="399">
        <v>425.49</v>
      </c>
      <c r="T146" s="399">
        <v>205.96</v>
      </c>
      <c r="U146" s="399"/>
      <c r="V146" s="399">
        <v>80.194150000000008</v>
      </c>
      <c r="W146" s="399">
        <v>80.194150000000008</v>
      </c>
      <c r="X146" s="399">
        <v>60.017659999999999</v>
      </c>
      <c r="Y146" s="399">
        <v>0</v>
      </c>
      <c r="Z146" s="399">
        <v>7.7437111757053607</v>
      </c>
      <c r="AA146" s="399">
        <v>0</v>
      </c>
      <c r="AB146" s="399">
        <v>0</v>
      </c>
      <c r="AC146" s="399">
        <v>0</v>
      </c>
      <c r="AD146" s="399">
        <v>10.294909023152268</v>
      </c>
      <c r="AE146" s="399">
        <v>31.627878091194777</v>
      </c>
      <c r="AF146" s="399">
        <v>25.51884490667814</v>
      </c>
      <c r="AG146" s="399">
        <v>0.63860057767583933</v>
      </c>
      <c r="AH146" s="399">
        <v>0</v>
      </c>
      <c r="AI146" s="399">
        <v>0</v>
      </c>
      <c r="AJ146" s="399">
        <v>0</v>
      </c>
      <c r="AK146" s="399">
        <v>0</v>
      </c>
      <c r="AL146" s="399">
        <v>1.196742689112883</v>
      </c>
      <c r="AM146" s="399"/>
      <c r="AN146" s="399">
        <v>0.13740805141158988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3.0368831809856514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/>
      <c r="BR146" s="399"/>
      <c r="BS146" s="399">
        <v>38.891972000000003</v>
      </c>
      <c r="BT146" s="399"/>
      <c r="BU146" s="399"/>
      <c r="BV146" s="399">
        <v>28.555728087663791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20.792999999999999</v>
      </c>
      <c r="CJ146" s="399">
        <v>-7.4655440000000048</v>
      </c>
      <c r="CK146" s="399"/>
      <c r="CL146" s="399"/>
      <c r="CM146" s="399"/>
      <c r="CN146" s="399"/>
      <c r="CO146" s="399">
        <v>-21.586189999999998</v>
      </c>
      <c r="CP146" s="399">
        <v>1.4096999999999993</v>
      </c>
      <c r="CQ146" s="399">
        <v>31</v>
      </c>
      <c r="CR146" s="399">
        <v>-0.88242598103678915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-1.2861617414885558</v>
      </c>
      <c r="DA146" s="399">
        <v>0</v>
      </c>
      <c r="DB146" s="399">
        <v>0</v>
      </c>
      <c r="DC146" s="399">
        <v>1.4093341663873673</v>
      </c>
      <c r="DD146" s="399">
        <v>0</v>
      </c>
      <c r="DE146" s="399">
        <v>0</v>
      </c>
      <c r="DF146" s="399">
        <v>0</v>
      </c>
      <c r="DG146" s="399">
        <v>0.16771853279184157</v>
      </c>
      <c r="DH146" s="399">
        <v>0</v>
      </c>
      <c r="DI146" s="399">
        <v>-1.0147746580284132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-0.13361458266505521</v>
      </c>
      <c r="DP146" s="399">
        <v>-2.4927698033971851E-2</v>
      </c>
      <c r="DQ146" s="399">
        <v>0</v>
      </c>
      <c r="DR146" s="399">
        <v>0</v>
      </c>
      <c r="DS146" s="399"/>
      <c r="DT146" s="399"/>
      <c r="DU146" s="399"/>
      <c r="DV146" s="399">
        <v>31.627878091194777</v>
      </c>
      <c r="DW146" s="399">
        <v>0</v>
      </c>
      <c r="DX146" s="399">
        <v>0</v>
      </c>
      <c r="DY146" s="399">
        <v>-21.586190000000002</v>
      </c>
      <c r="DZ146" s="399">
        <v>1.4096999999999973</v>
      </c>
      <c r="EA146" s="399">
        <v>0</v>
      </c>
      <c r="EB146" s="399">
        <v>0</v>
      </c>
      <c r="EC146" s="399">
        <v>-19.295108321790302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227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956</v>
      </c>
      <c r="C147" s="399" t="s">
        <v>2328</v>
      </c>
      <c r="D147" s="399" t="s">
        <v>1823</v>
      </c>
      <c r="E147" s="399" t="s">
        <v>889</v>
      </c>
      <c r="F147" s="399" t="s">
        <v>889</v>
      </c>
      <c r="G147" s="399" t="s">
        <v>1239</v>
      </c>
      <c r="H147" s="399" t="s">
        <v>1239</v>
      </c>
      <c r="I147" s="399" t="s">
        <v>1239</v>
      </c>
      <c r="J147" s="399" t="s">
        <v>2329</v>
      </c>
      <c r="K147" s="789">
        <v>44713</v>
      </c>
      <c r="L147" s="399">
        <v>0</v>
      </c>
      <c r="M147" s="399">
        <v>0</v>
      </c>
      <c r="N147" s="399">
        <v>220.416</v>
      </c>
      <c r="O147" s="399">
        <v>220.416</v>
      </c>
      <c r="P147" s="399">
        <v>220.416</v>
      </c>
      <c r="Q147" s="399">
        <v>220.416</v>
      </c>
      <c r="R147" s="399"/>
      <c r="S147" s="399">
        <v>425.49</v>
      </c>
      <c r="T147" s="399">
        <v>205.96</v>
      </c>
      <c r="U147" s="399"/>
      <c r="V147" s="399">
        <v>139181.6832</v>
      </c>
      <c r="W147" s="399">
        <v>139181.6832</v>
      </c>
      <c r="X147" s="399">
        <v>104164.19328000001</v>
      </c>
      <c r="Y147" s="399">
        <v>0</v>
      </c>
      <c r="Z147" s="399">
        <v>13439.668051214747</v>
      </c>
      <c r="AA147" s="399">
        <v>0</v>
      </c>
      <c r="AB147" s="399">
        <v>0</v>
      </c>
      <c r="AC147" s="399">
        <v>0</v>
      </c>
      <c r="AD147" s="399">
        <v>17867.422576749057</v>
      </c>
      <c r="AE147" s="399">
        <v>54892.050215344789</v>
      </c>
      <c r="AF147" s="399">
        <v>44289.462353939911</v>
      </c>
      <c r="AG147" s="399">
        <v>1108.3290151889591</v>
      </c>
      <c r="AH147" s="399">
        <v>0</v>
      </c>
      <c r="AI147" s="399">
        <v>0</v>
      </c>
      <c r="AJ147" s="399">
        <v>0</v>
      </c>
      <c r="AK147" s="399">
        <v>0</v>
      </c>
      <c r="AL147" s="399">
        <v>2077.0176107362613</v>
      </c>
      <c r="AM147" s="399"/>
      <c r="AN147" s="399">
        <v>238.47978787351963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5270.6901040955372</v>
      </c>
      <c r="BH147" s="399">
        <v>0</v>
      </c>
      <c r="BI147" s="399">
        <v>554.11</v>
      </c>
      <c r="BJ147" s="399">
        <v>2602</v>
      </c>
      <c r="BK147" s="399">
        <v>24883.51</v>
      </c>
      <c r="BL147" s="399">
        <v>939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49560.152458035445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104166.0836</v>
      </c>
      <c r="CJ147" s="399">
        <v>-35015.6296</v>
      </c>
      <c r="CK147" s="399"/>
      <c r="CL147" s="399"/>
      <c r="CM147" s="399"/>
      <c r="CN147" s="399"/>
      <c r="CO147" s="399">
        <v>-37464.107519999998</v>
      </c>
      <c r="CP147" s="399">
        <v>2446.6175999999987</v>
      </c>
      <c r="CQ147" s="399">
        <v>30</v>
      </c>
      <c r="CR147" s="399">
        <v>-1531.5024018598779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-2232.2096567869394</v>
      </c>
      <c r="DA147" s="399">
        <v>0</v>
      </c>
      <c r="DB147" s="399">
        <v>0</v>
      </c>
      <c r="DC147" s="399">
        <v>2445.9826741609286</v>
      </c>
      <c r="DD147" s="399">
        <v>0</v>
      </c>
      <c r="DE147" s="399">
        <v>0</v>
      </c>
      <c r="DF147" s="399">
        <v>0</v>
      </c>
      <c r="DG147" s="399">
        <v>291.0854182980047</v>
      </c>
      <c r="DH147" s="399">
        <v>0</v>
      </c>
      <c r="DI147" s="399">
        <v>-1761.2013466455955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-231.89599884016388</v>
      </c>
      <c r="DP147" s="399">
        <v>-43.263492046109747</v>
      </c>
      <c r="DQ147" s="399">
        <v>0</v>
      </c>
      <c r="DR147" s="399">
        <v>0</v>
      </c>
      <c r="DS147" s="399"/>
      <c r="DT147" s="399"/>
      <c r="DU147" s="399"/>
      <c r="DV147" s="399">
        <v>54892.050215344789</v>
      </c>
      <c r="DW147" s="399">
        <v>0</v>
      </c>
      <c r="DX147" s="399">
        <v>0</v>
      </c>
      <c r="DY147" s="399">
        <v>-37464.107520000005</v>
      </c>
      <c r="DZ147" s="399">
        <v>2446.6175999999978</v>
      </c>
      <c r="EA147" s="399">
        <v>0</v>
      </c>
      <c r="EB147" s="399">
        <v>0</v>
      </c>
      <c r="EC147" s="399">
        <v>-33487.799967367966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227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2328</v>
      </c>
      <c r="D148" s="399" t="s">
        <v>1823</v>
      </c>
      <c r="E148" s="399" t="s">
        <v>889</v>
      </c>
      <c r="F148" s="399" t="s">
        <v>2330</v>
      </c>
      <c r="G148" s="399" t="s">
        <v>1239</v>
      </c>
      <c r="H148" s="399" t="s">
        <v>1239</v>
      </c>
      <c r="I148" s="399" t="s">
        <v>1239</v>
      </c>
      <c r="J148" s="399" t="s">
        <v>2329</v>
      </c>
      <c r="K148" s="789">
        <v>44713</v>
      </c>
      <c r="L148" s="399">
        <v>0</v>
      </c>
      <c r="M148" s="399">
        <v>0</v>
      </c>
      <c r="N148" s="399">
        <v>0.54</v>
      </c>
      <c r="O148" s="399">
        <v>0.54</v>
      </c>
      <c r="P148" s="399">
        <v>0.54</v>
      </c>
      <c r="Q148" s="399">
        <v>0.54</v>
      </c>
      <c r="R148" s="399"/>
      <c r="S148" s="399">
        <v>355.1</v>
      </c>
      <c r="T148" s="399">
        <v>205.96</v>
      </c>
      <c r="U148" s="399"/>
      <c r="V148" s="399">
        <v>302.97240000000005</v>
      </c>
      <c r="W148" s="399">
        <v>302.97240000000005</v>
      </c>
      <c r="X148" s="399">
        <v>222.05880000000002</v>
      </c>
      <c r="Y148" s="399">
        <v>0</v>
      </c>
      <c r="Z148" s="399">
        <v>0</v>
      </c>
      <c r="AA148" s="399">
        <v>0</v>
      </c>
      <c r="AB148" s="399">
        <v>0</v>
      </c>
      <c r="AC148" s="399">
        <v>0</v>
      </c>
      <c r="AD148" s="399">
        <v>43.773628917340353</v>
      </c>
      <c r="AE148" s="399">
        <v>134.48074149011953</v>
      </c>
      <c r="AF148" s="399">
        <v>108.50532480004878</v>
      </c>
      <c r="AG148" s="399">
        <v>2.7153095428736478</v>
      </c>
      <c r="AH148" s="399">
        <v>0</v>
      </c>
      <c r="AI148" s="399">
        <v>0</v>
      </c>
      <c r="AJ148" s="399">
        <v>0</v>
      </c>
      <c r="AK148" s="399">
        <v>0</v>
      </c>
      <c r="AL148" s="399">
        <v>0</v>
      </c>
      <c r="AM148" s="399"/>
      <c r="AN148" s="399">
        <v>0.58425470678943725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12.912731635687022</v>
      </c>
      <c r="BH148" s="399">
        <v>0</v>
      </c>
      <c r="BI148" s="399">
        <v>0.46</v>
      </c>
      <c r="BJ148" s="399">
        <v>2.2200000000000002</v>
      </c>
      <c r="BK148" s="399">
        <v>10.9</v>
      </c>
      <c r="BL148" s="399">
        <v>0</v>
      </c>
      <c r="BM148" s="399"/>
      <c r="BN148" s="399"/>
      <c r="BO148" s="399"/>
      <c r="BP148" s="399"/>
      <c r="BQ148" s="399"/>
      <c r="BR148" s="399"/>
      <c r="BS148" s="399"/>
      <c r="BT148" s="399">
        <v>144.33660000000003</v>
      </c>
      <c r="BU148" s="399"/>
      <c r="BV148" s="399">
        <v>121.41805643573581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77.722200000000001</v>
      </c>
      <c r="CJ148" s="399">
        <v>-28.347600000000028</v>
      </c>
      <c r="CK148" s="399"/>
      <c r="CL148" s="399"/>
      <c r="CM148" s="399"/>
      <c r="CN148" s="399"/>
      <c r="CO148" s="399">
        <v>-86.907600000000016</v>
      </c>
      <c r="CP148" s="399">
        <v>5.9939999999999971</v>
      </c>
      <c r="CQ148" s="399">
        <v>30</v>
      </c>
      <c r="CR148" s="399">
        <v>1.1308674032646593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-5.4687192157781084</v>
      </c>
      <c r="DA148" s="399">
        <v>0</v>
      </c>
      <c r="DB148" s="399">
        <v>0</v>
      </c>
      <c r="DC148" s="399">
        <v>5.9924444870014213</v>
      </c>
      <c r="DD148" s="399">
        <v>0</v>
      </c>
      <c r="DE148" s="399">
        <v>0</v>
      </c>
      <c r="DF148" s="399">
        <v>0</v>
      </c>
      <c r="DG148" s="399">
        <v>0.71313391895743727</v>
      </c>
      <c r="DH148" s="399">
        <v>0</v>
      </c>
      <c r="DI148" s="399">
        <v>0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0</v>
      </c>
      <c r="DP148" s="399">
        <v>-0.10599178691610078</v>
      </c>
      <c r="DQ148" s="399">
        <v>0</v>
      </c>
      <c r="DR148" s="399">
        <v>0</v>
      </c>
      <c r="DS148" s="399"/>
      <c r="DT148" s="399"/>
      <c r="DU148" s="399"/>
      <c r="DV148" s="399">
        <v>134.48074149011953</v>
      </c>
      <c r="DW148" s="399">
        <v>0</v>
      </c>
      <c r="DX148" s="399">
        <v>0</v>
      </c>
      <c r="DY148" s="399">
        <v>-86.907600000000016</v>
      </c>
      <c r="DZ148" s="399">
        <v>5.9939999999999856</v>
      </c>
      <c r="EA148" s="399">
        <v>0</v>
      </c>
      <c r="EB148" s="399">
        <v>0</v>
      </c>
      <c r="EC148" s="399">
        <v>-82.042192864305221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227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956</v>
      </c>
      <c r="C149" s="399" t="s">
        <v>2328</v>
      </c>
      <c r="D149" s="399" t="s">
        <v>1823</v>
      </c>
      <c r="E149" s="399" t="s">
        <v>889</v>
      </c>
      <c r="F149" s="399" t="s">
        <v>2331</v>
      </c>
      <c r="G149" s="399" t="s">
        <v>1239</v>
      </c>
      <c r="H149" s="399" t="s">
        <v>1239</v>
      </c>
      <c r="I149" s="399" t="s">
        <v>1239</v>
      </c>
      <c r="J149" s="399" t="s">
        <v>2329</v>
      </c>
      <c r="K149" s="789">
        <v>44713</v>
      </c>
      <c r="L149" s="399">
        <v>0</v>
      </c>
      <c r="M149" s="399">
        <v>0</v>
      </c>
      <c r="N149" s="399">
        <v>1.1950000000000001</v>
      </c>
      <c r="O149" s="399">
        <v>1.1950000000000001</v>
      </c>
      <c r="P149" s="399">
        <v>1.1950000000000001</v>
      </c>
      <c r="Q149" s="399">
        <v>1.1950000000000001</v>
      </c>
      <c r="R149" s="399"/>
      <c r="S149" s="399">
        <v>355.1</v>
      </c>
      <c r="T149" s="399">
        <v>205.96</v>
      </c>
      <c r="U149" s="399"/>
      <c r="V149" s="399">
        <v>670.46670000000006</v>
      </c>
      <c r="W149" s="399">
        <v>670.46670000000006</v>
      </c>
      <c r="X149" s="399">
        <v>491.40790000000004</v>
      </c>
      <c r="Y149" s="399">
        <v>0</v>
      </c>
      <c r="Z149" s="399">
        <v>0</v>
      </c>
      <c r="AA149" s="399">
        <v>0</v>
      </c>
      <c r="AB149" s="399">
        <v>0</v>
      </c>
      <c r="AC149" s="399">
        <v>0</v>
      </c>
      <c r="AD149" s="399">
        <v>96.869419548558739</v>
      </c>
      <c r="AE149" s="399">
        <v>297.6009001494312</v>
      </c>
      <c r="AF149" s="399">
        <v>240.11826506677463</v>
      </c>
      <c r="AG149" s="399">
        <v>6.0088794513592765</v>
      </c>
      <c r="AH149" s="399">
        <v>0</v>
      </c>
      <c r="AI149" s="399">
        <v>0</v>
      </c>
      <c r="AJ149" s="399">
        <v>0</v>
      </c>
      <c r="AK149" s="399">
        <v>0</v>
      </c>
      <c r="AL149" s="399">
        <v>0</v>
      </c>
      <c r="AM149" s="399"/>
      <c r="AN149" s="399">
        <v>1.2929340270618104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28.575396860455538</v>
      </c>
      <c r="BH149" s="399">
        <v>0</v>
      </c>
      <c r="BI149" s="399">
        <v>1.84</v>
      </c>
      <c r="BJ149" s="399">
        <v>8.77</v>
      </c>
      <c r="BK149" s="399">
        <v>41.54</v>
      </c>
      <c r="BL149" s="399">
        <v>1</v>
      </c>
      <c r="BM149" s="399"/>
      <c r="BN149" s="399"/>
      <c r="BO149" s="399"/>
      <c r="BP149" s="399"/>
      <c r="BQ149" s="399"/>
      <c r="BR149" s="399"/>
      <c r="BS149" s="399"/>
      <c r="BT149" s="399">
        <v>196.55360000000002</v>
      </c>
      <c r="BU149" s="399"/>
      <c r="BV149" s="399">
        <v>268.69366192723015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296.08799999999997</v>
      </c>
      <c r="CJ149" s="399">
        <v>-106.22680000000003</v>
      </c>
      <c r="CK149" s="399"/>
      <c r="CL149" s="399"/>
      <c r="CM149" s="399"/>
      <c r="CN149" s="399"/>
      <c r="CO149" s="399">
        <v>-192.32330000000005</v>
      </c>
      <c r="CP149" s="399">
        <v>13.264499999999995</v>
      </c>
      <c r="CQ149" s="399">
        <v>30</v>
      </c>
      <c r="CR149" s="399">
        <v>2.5025676794468268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-12.102073079360807</v>
      </c>
      <c r="DA149" s="399">
        <v>0</v>
      </c>
      <c r="DB149" s="399">
        <v>0</v>
      </c>
      <c r="DC149" s="399">
        <v>13.261057707345714</v>
      </c>
      <c r="DD149" s="399">
        <v>0</v>
      </c>
      <c r="DE149" s="399">
        <v>0</v>
      </c>
      <c r="DF149" s="399">
        <v>0</v>
      </c>
      <c r="DG149" s="399">
        <v>1.5781389502854424</v>
      </c>
      <c r="DH149" s="399">
        <v>0</v>
      </c>
      <c r="DI149" s="399">
        <v>0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0</v>
      </c>
      <c r="DP149" s="399">
        <v>-0.23455589882359362</v>
      </c>
      <c r="DQ149" s="399">
        <v>0</v>
      </c>
      <c r="DR149" s="399">
        <v>0</v>
      </c>
      <c r="DS149" s="399"/>
      <c r="DT149" s="399"/>
      <c r="DU149" s="399"/>
      <c r="DV149" s="399">
        <v>297.6009001494312</v>
      </c>
      <c r="DW149" s="399">
        <v>0</v>
      </c>
      <c r="DX149" s="399">
        <v>0</v>
      </c>
      <c r="DY149" s="399">
        <v>-192.32330000000002</v>
      </c>
      <c r="DZ149" s="399">
        <v>13.264499999999998</v>
      </c>
      <c r="EA149" s="399">
        <v>0</v>
      </c>
      <c r="EB149" s="399">
        <v>0</v>
      </c>
      <c r="EC149" s="399">
        <v>-181.55633420897175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227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2328</v>
      </c>
      <c r="D150" s="399" t="s">
        <v>1823</v>
      </c>
      <c r="E150" s="399" t="s">
        <v>889</v>
      </c>
      <c r="F150" s="399" t="s">
        <v>2332</v>
      </c>
      <c r="G150" s="399" t="s">
        <v>1239</v>
      </c>
      <c r="H150" s="399" t="s">
        <v>1239</v>
      </c>
      <c r="I150" s="399" t="s">
        <v>1239</v>
      </c>
      <c r="J150" s="399" t="s">
        <v>2329</v>
      </c>
      <c r="K150" s="789">
        <v>44713</v>
      </c>
      <c r="L150" s="399">
        <v>0</v>
      </c>
      <c r="M150" s="399">
        <v>0</v>
      </c>
      <c r="N150" s="399">
        <v>1.4370000000000001</v>
      </c>
      <c r="O150" s="399">
        <v>1.4370000000000001</v>
      </c>
      <c r="P150" s="399">
        <v>1.4370000000000001</v>
      </c>
      <c r="Q150" s="399">
        <v>1.4370000000000001</v>
      </c>
      <c r="R150" s="399"/>
      <c r="S150" s="399">
        <v>355.1</v>
      </c>
      <c r="T150" s="399">
        <v>205.96</v>
      </c>
      <c r="U150" s="399"/>
      <c r="V150" s="399">
        <v>806.24322000000006</v>
      </c>
      <c r="W150" s="399">
        <v>806.24322000000006</v>
      </c>
      <c r="X150" s="399">
        <v>590.9231400000001</v>
      </c>
      <c r="Y150" s="399">
        <v>0</v>
      </c>
      <c r="Z150" s="399">
        <v>0</v>
      </c>
      <c r="AA150" s="399">
        <v>0</v>
      </c>
      <c r="AB150" s="399">
        <v>0</v>
      </c>
      <c r="AC150" s="399">
        <v>0</v>
      </c>
      <c r="AD150" s="399">
        <v>116.48649028558906</v>
      </c>
      <c r="AE150" s="399">
        <v>357.8681954098181</v>
      </c>
      <c r="AF150" s="399">
        <v>288.7447254401298</v>
      </c>
      <c r="AG150" s="399">
        <v>7.2257403946470955</v>
      </c>
      <c r="AH150" s="399">
        <v>0</v>
      </c>
      <c r="AI150" s="399">
        <v>0</v>
      </c>
      <c r="AJ150" s="399">
        <v>0</v>
      </c>
      <c r="AK150" s="399">
        <v>0</v>
      </c>
      <c r="AL150" s="399">
        <v>0</v>
      </c>
      <c r="AM150" s="399"/>
      <c r="AN150" s="399">
        <v>1.5547666919563359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34.362213630522682</v>
      </c>
      <c r="BH150" s="399">
        <v>0</v>
      </c>
      <c r="BI150" s="399">
        <v>3.61</v>
      </c>
      <c r="BJ150" s="399">
        <v>16.96</v>
      </c>
      <c r="BK150" s="399">
        <v>126.22</v>
      </c>
      <c r="BL150" s="399">
        <v>11</v>
      </c>
      <c r="BM150" s="399"/>
      <c r="BN150" s="399"/>
      <c r="BO150" s="399"/>
      <c r="BP150" s="399"/>
      <c r="BQ150" s="399"/>
      <c r="BR150" s="399"/>
      <c r="BS150" s="399"/>
      <c r="BT150" s="399">
        <v>59.075069999999982</v>
      </c>
      <c r="BU150" s="399"/>
      <c r="BV150" s="399">
        <v>323.10693907065246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532.95839999999998</v>
      </c>
      <c r="CJ150" s="399">
        <v>-192.69911999999999</v>
      </c>
      <c r="CK150" s="399"/>
      <c r="CL150" s="399"/>
      <c r="CM150" s="399"/>
      <c r="CN150" s="399"/>
      <c r="CO150" s="399">
        <v>-231.27078000000006</v>
      </c>
      <c r="CP150" s="399">
        <v>15.950699999999992</v>
      </c>
      <c r="CQ150" s="399">
        <v>30</v>
      </c>
      <c r="CR150" s="399">
        <v>3.0093638120209221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-14.552869468653967</v>
      </c>
      <c r="DA150" s="399">
        <v>0</v>
      </c>
      <c r="DB150" s="399">
        <v>0</v>
      </c>
      <c r="DC150" s="399">
        <v>15.94656060707598</v>
      </c>
      <c r="DD150" s="399">
        <v>0</v>
      </c>
      <c r="DE150" s="399">
        <v>0</v>
      </c>
      <c r="DF150" s="399">
        <v>0</v>
      </c>
      <c r="DG150" s="399">
        <v>1.8977285954478518</v>
      </c>
      <c r="DH150" s="399">
        <v>0</v>
      </c>
      <c r="DI150" s="399">
        <v>0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0</v>
      </c>
      <c r="DP150" s="399">
        <v>-0.28205592184895711</v>
      </c>
      <c r="DQ150" s="399">
        <v>0</v>
      </c>
      <c r="DR150" s="399">
        <v>0</v>
      </c>
      <c r="DS150" s="399"/>
      <c r="DT150" s="399"/>
      <c r="DU150" s="399"/>
      <c r="DV150" s="399">
        <v>357.8681954098181</v>
      </c>
      <c r="DW150" s="399">
        <v>0</v>
      </c>
      <c r="DX150" s="399">
        <v>0</v>
      </c>
      <c r="DY150" s="399">
        <v>-231.27078000000006</v>
      </c>
      <c r="DZ150" s="399">
        <v>15.950699999999983</v>
      </c>
      <c r="EA150" s="399">
        <v>0</v>
      </c>
      <c r="EB150" s="399">
        <v>0</v>
      </c>
      <c r="EC150" s="399">
        <v>-218.32339101112336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227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956</v>
      </c>
      <c r="C151" s="399" t="s">
        <v>2328</v>
      </c>
      <c r="D151" s="399" t="s">
        <v>1823</v>
      </c>
      <c r="E151" s="399" t="s">
        <v>889</v>
      </c>
      <c r="F151" s="399" t="s">
        <v>2333</v>
      </c>
      <c r="G151" s="399" t="s">
        <v>1239</v>
      </c>
      <c r="H151" s="399" t="s">
        <v>1239</v>
      </c>
      <c r="I151" s="399" t="s">
        <v>1239</v>
      </c>
      <c r="J151" s="399" t="s">
        <v>2329</v>
      </c>
      <c r="K151" s="789">
        <v>44713</v>
      </c>
      <c r="L151" s="399">
        <v>0</v>
      </c>
      <c r="M151" s="399">
        <v>0</v>
      </c>
      <c r="N151" s="399">
        <v>0.48199999999999998</v>
      </c>
      <c r="O151" s="399">
        <v>0.48199999999999998</v>
      </c>
      <c r="P151" s="399">
        <v>0.48199999999999998</v>
      </c>
      <c r="Q151" s="399">
        <v>0.48199999999999998</v>
      </c>
      <c r="R151" s="399"/>
      <c r="S151" s="399">
        <v>355.1</v>
      </c>
      <c r="T151" s="399">
        <v>205.96</v>
      </c>
      <c r="U151" s="399"/>
      <c r="V151" s="399">
        <v>270.43092000000001</v>
      </c>
      <c r="W151" s="399">
        <v>270.43092000000001</v>
      </c>
      <c r="X151" s="399">
        <v>198.20803999999998</v>
      </c>
      <c r="Y151" s="399">
        <v>0</v>
      </c>
      <c r="Z151" s="399">
        <v>0</v>
      </c>
      <c r="AA151" s="399">
        <v>0</v>
      </c>
      <c r="AB151" s="399">
        <v>0</v>
      </c>
      <c r="AC151" s="399">
        <v>0</v>
      </c>
      <c r="AD151" s="399">
        <v>39.072016922514905</v>
      </c>
      <c r="AE151" s="399">
        <v>120.03651370044003</v>
      </c>
      <c r="AF151" s="399">
        <v>96.851049173376865</v>
      </c>
      <c r="AG151" s="399">
        <v>2.4236651845649964</v>
      </c>
      <c r="AH151" s="399">
        <v>0</v>
      </c>
      <c r="AI151" s="399">
        <v>0</v>
      </c>
      <c r="AJ151" s="399">
        <v>0</v>
      </c>
      <c r="AK151" s="399">
        <v>0</v>
      </c>
      <c r="AL151" s="399">
        <v>0</v>
      </c>
      <c r="AM151" s="399"/>
      <c r="AN151" s="399">
        <v>0.52150142346760875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11.525808608150266</v>
      </c>
      <c r="BH151" s="399">
        <v>0</v>
      </c>
      <c r="BI151" s="399">
        <v>1.59</v>
      </c>
      <c r="BJ151" s="399">
        <v>7.26</v>
      </c>
      <c r="BK151" s="399">
        <v>69</v>
      </c>
      <c r="BL151" s="399">
        <v>6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108.37685778152714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197.38560000000001</v>
      </c>
      <c r="CJ151" s="399">
        <v>-73.075319999999977</v>
      </c>
      <c r="CK151" s="399"/>
      <c r="CL151" s="399"/>
      <c r="CM151" s="399"/>
      <c r="CN151" s="399"/>
      <c r="CO151" s="399">
        <v>-77.573080000000004</v>
      </c>
      <c r="CP151" s="399">
        <v>5.3501999999999974</v>
      </c>
      <c r="CQ151" s="399">
        <v>30</v>
      </c>
      <c r="CR151" s="399">
        <v>1.0094038673584294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-4.8813382629723137</v>
      </c>
      <c r="DA151" s="399">
        <v>0</v>
      </c>
      <c r="DB151" s="399">
        <v>0</v>
      </c>
      <c r="DC151" s="399">
        <v>5.3488115606197795</v>
      </c>
      <c r="DD151" s="399">
        <v>0</v>
      </c>
      <c r="DE151" s="399">
        <v>0</v>
      </c>
      <c r="DF151" s="399">
        <v>0</v>
      </c>
      <c r="DG151" s="399">
        <v>0.63653805358793569</v>
      </c>
      <c r="DH151" s="399">
        <v>0</v>
      </c>
      <c r="DI151" s="399">
        <v>0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0</v>
      </c>
      <c r="DP151" s="399">
        <v>-9.4607483876963994E-2</v>
      </c>
      <c r="DQ151" s="399">
        <v>0</v>
      </c>
      <c r="DR151" s="399">
        <v>0</v>
      </c>
      <c r="DS151" s="399"/>
      <c r="DT151" s="399"/>
      <c r="DU151" s="399"/>
      <c r="DV151" s="399">
        <v>120.03651370044003</v>
      </c>
      <c r="DW151" s="399">
        <v>0</v>
      </c>
      <c r="DX151" s="399">
        <v>0</v>
      </c>
      <c r="DY151" s="399">
        <v>-77.573080000000004</v>
      </c>
      <c r="DZ151" s="399">
        <v>5.3501999999999867</v>
      </c>
      <c r="EA151" s="399">
        <v>0</v>
      </c>
      <c r="EB151" s="399">
        <v>0</v>
      </c>
      <c r="EC151" s="399">
        <v>-73.23025363073171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227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2328</v>
      </c>
      <c r="D152" s="399" t="s">
        <v>1826</v>
      </c>
      <c r="E152" s="399" t="s">
        <v>890</v>
      </c>
      <c r="F152" s="399" t="s">
        <v>1239</v>
      </c>
      <c r="G152" s="399" t="s">
        <v>1239</v>
      </c>
      <c r="H152" s="399" t="s">
        <v>1239</v>
      </c>
      <c r="I152" s="399" t="s">
        <v>1239</v>
      </c>
      <c r="J152" s="399" t="s">
        <v>2329</v>
      </c>
      <c r="K152" s="789">
        <v>44713</v>
      </c>
      <c r="L152" s="399">
        <v>0</v>
      </c>
      <c r="M152" s="399">
        <v>0</v>
      </c>
      <c r="N152" s="399">
        <v>76.015000000000001</v>
      </c>
      <c r="O152" s="399">
        <v>76.015000000000001</v>
      </c>
      <c r="P152" s="399">
        <v>76.015000000000001</v>
      </c>
      <c r="Q152" s="399">
        <v>76.015000000000001</v>
      </c>
      <c r="R152" s="399"/>
      <c r="S152" s="399">
        <v>425.49</v>
      </c>
      <c r="T152" s="399">
        <v>205.96</v>
      </c>
      <c r="U152" s="399"/>
      <c r="V152" s="399">
        <v>47999.671750000001</v>
      </c>
      <c r="W152" s="399">
        <v>47999.671750000001</v>
      </c>
      <c r="X152" s="399">
        <v>35923.168700000002</v>
      </c>
      <c r="Y152" s="399">
        <v>0</v>
      </c>
      <c r="Z152" s="399">
        <v>4634.94649623026</v>
      </c>
      <c r="AA152" s="399">
        <v>0</v>
      </c>
      <c r="AB152" s="399">
        <v>0</v>
      </c>
      <c r="AC152" s="399">
        <v>0</v>
      </c>
      <c r="AD152" s="399">
        <v>6161.9488928733826</v>
      </c>
      <c r="AE152" s="399">
        <v>18930.654748835994</v>
      </c>
      <c r="AF152" s="399">
        <v>15274.133823473534</v>
      </c>
      <c r="AG152" s="399">
        <v>382.23010166951912</v>
      </c>
      <c r="AH152" s="399">
        <v>0</v>
      </c>
      <c r="AI152" s="399">
        <v>0</v>
      </c>
      <c r="AJ152" s="399">
        <v>0</v>
      </c>
      <c r="AK152" s="399">
        <v>0</v>
      </c>
      <c r="AL152" s="399">
        <v>716.30232687335274</v>
      </c>
      <c r="AM152" s="399"/>
      <c r="AN152" s="399">
        <v>82.244669512220511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1817.7061023828683</v>
      </c>
      <c r="BH152" s="399">
        <v>0</v>
      </c>
      <c r="BI152" s="399">
        <v>230.88</v>
      </c>
      <c r="BJ152" s="399">
        <v>1073.57</v>
      </c>
      <c r="BK152" s="399">
        <v>12409.02</v>
      </c>
      <c r="BL152" s="399">
        <v>41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17091.839925856402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35925.531600000002</v>
      </c>
      <c r="CJ152" s="399">
        <v>-12074.170149999998</v>
      </c>
      <c r="CK152" s="399"/>
      <c r="CL152" s="399"/>
      <c r="CM152" s="399"/>
      <c r="CN152" s="399"/>
      <c r="CO152" s="399">
        <v>-12920.269550000001</v>
      </c>
      <c r="CP152" s="399">
        <v>843.76649999999961</v>
      </c>
      <c r="CQ152" s="399">
        <v>30</v>
      </c>
      <c r="CR152" s="399">
        <v>-528.17016494890777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-769.82350219883847</v>
      </c>
      <c r="DA152" s="399">
        <v>0</v>
      </c>
      <c r="DB152" s="399">
        <v>0</v>
      </c>
      <c r="DC152" s="399">
        <v>843.54753273965252</v>
      </c>
      <c r="DD152" s="399">
        <v>0</v>
      </c>
      <c r="DE152" s="399">
        <v>0</v>
      </c>
      <c r="DF152" s="399">
        <v>0</v>
      </c>
      <c r="DG152" s="399">
        <v>100.38680527694373</v>
      </c>
      <c r="DH152" s="399">
        <v>0</v>
      </c>
      <c r="DI152" s="399">
        <v>-607.38657976401419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-79.974114183340021</v>
      </c>
      <c r="DP152" s="399">
        <v>-14.920306819310014</v>
      </c>
      <c r="DQ152" s="399">
        <v>0</v>
      </c>
      <c r="DR152" s="399">
        <v>0</v>
      </c>
      <c r="DS152" s="399"/>
      <c r="DT152" s="399"/>
      <c r="DU152" s="399"/>
      <c r="DV152" s="399">
        <v>18930.654748835994</v>
      </c>
      <c r="DW152" s="399">
        <v>0</v>
      </c>
      <c r="DX152" s="399">
        <v>0</v>
      </c>
      <c r="DY152" s="399">
        <v>-12920.269550000001</v>
      </c>
      <c r="DZ152" s="399">
        <v>843.76650000000154</v>
      </c>
      <c r="EA152" s="399">
        <v>0</v>
      </c>
      <c r="EB152" s="399">
        <v>0</v>
      </c>
      <c r="EC152" s="399">
        <v>-11548.95794551882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227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956</v>
      </c>
      <c r="C153" s="399" t="s">
        <v>2334</v>
      </c>
      <c r="D153" s="399" t="s">
        <v>533</v>
      </c>
      <c r="E153" s="399" t="s">
        <v>890</v>
      </c>
      <c r="F153" s="399" t="s">
        <v>1239</v>
      </c>
      <c r="G153" s="399" t="s">
        <v>1239</v>
      </c>
      <c r="H153" s="399" t="s">
        <v>1239</v>
      </c>
      <c r="I153" s="399" t="s">
        <v>893</v>
      </c>
      <c r="J153" s="399" t="s">
        <v>2329</v>
      </c>
      <c r="K153" s="789">
        <v>44713</v>
      </c>
      <c r="L153" s="399">
        <v>0</v>
      </c>
      <c r="M153" s="399">
        <v>0</v>
      </c>
      <c r="N153" s="399">
        <v>12.71</v>
      </c>
      <c r="O153" s="399">
        <v>12.71</v>
      </c>
      <c r="P153" s="399">
        <v>12.71</v>
      </c>
      <c r="Q153" s="399">
        <v>12.71</v>
      </c>
      <c r="R153" s="399"/>
      <c r="S153" s="399">
        <v>2109.83</v>
      </c>
      <c r="T153" s="399">
        <v>205.96</v>
      </c>
      <c r="U153" s="399"/>
      <c r="V153" s="399">
        <v>29433.690900000001</v>
      </c>
      <c r="W153" s="399">
        <v>29433.690900000001</v>
      </c>
      <c r="X153" s="399">
        <v>17368.977600000002</v>
      </c>
      <c r="Y153" s="399">
        <v>0</v>
      </c>
      <c r="Z153" s="399">
        <v>674.23334698895405</v>
      </c>
      <c r="AA153" s="399">
        <v>0</v>
      </c>
      <c r="AB153" s="399">
        <v>0</v>
      </c>
      <c r="AC153" s="399">
        <v>0</v>
      </c>
      <c r="AD153" s="399">
        <v>7605.3596438815312</v>
      </c>
      <c r="AE153" s="399">
        <v>18291.340952573501</v>
      </c>
      <c r="AF153" s="399">
        <v>2553.8938485344815</v>
      </c>
      <c r="AG153" s="399">
        <v>63.910341277637151</v>
      </c>
      <c r="AH153" s="399">
        <v>0</v>
      </c>
      <c r="AI153" s="399">
        <v>0</v>
      </c>
      <c r="AJ153" s="399">
        <v>0</v>
      </c>
      <c r="AK153" s="399">
        <v>0</v>
      </c>
      <c r="AL153" s="399">
        <v>119.76850061909246</v>
      </c>
      <c r="AM153" s="399"/>
      <c r="AN153" s="399">
        <v>7.8480777480756947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117.345428921161</v>
      </c>
      <c r="BH153" s="399">
        <v>0</v>
      </c>
      <c r="BI153" s="399">
        <v>0</v>
      </c>
      <c r="BJ153" s="399">
        <v>0</v>
      </c>
      <c r="BK153" s="399">
        <v>0</v>
      </c>
      <c r="BL153" s="399">
        <v>0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2671.2392774556424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17368.977600000002</v>
      </c>
      <c r="CJ153" s="399">
        <v>-12064.743299999995</v>
      </c>
      <c r="CK153" s="399"/>
      <c r="CL153" s="399"/>
      <c r="CM153" s="399"/>
      <c r="CN153" s="399"/>
      <c r="CO153" s="399">
        <v>-12205.7943</v>
      </c>
      <c r="CP153" s="399">
        <v>141.08099999999993</v>
      </c>
      <c r="CQ153" s="399">
        <v>30</v>
      </c>
      <c r="CR153" s="399">
        <v>-905.77702969386701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-950.1514372029178</v>
      </c>
      <c r="DA153" s="399">
        <v>0</v>
      </c>
      <c r="DB153" s="399">
        <v>0</v>
      </c>
      <c r="DC153" s="399">
        <v>141.04438783294063</v>
      </c>
      <c r="DD153" s="399">
        <v>0</v>
      </c>
      <c r="DE153" s="399">
        <v>0</v>
      </c>
      <c r="DF153" s="399">
        <v>0</v>
      </c>
      <c r="DG153" s="399">
        <v>6.4806586212176143</v>
      </c>
      <c r="DH153" s="399">
        <v>0</v>
      </c>
      <c r="DI153" s="399">
        <v>-88.354911307722432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-13.371979099786245</v>
      </c>
      <c r="DP153" s="399">
        <v>-1.4237485375959862</v>
      </c>
      <c r="DQ153" s="399">
        <v>0</v>
      </c>
      <c r="DR153" s="399">
        <v>0</v>
      </c>
      <c r="DS153" s="399"/>
      <c r="DT153" s="399"/>
      <c r="DU153" s="399"/>
      <c r="DV153" s="399">
        <v>18291.340952573501</v>
      </c>
      <c r="DW153" s="399">
        <v>0</v>
      </c>
      <c r="DX153" s="399">
        <v>0</v>
      </c>
      <c r="DY153" s="399">
        <v>-12205.794300000001</v>
      </c>
      <c r="DZ153" s="399">
        <v>141.08100000000013</v>
      </c>
      <c r="EA153" s="399">
        <v>0</v>
      </c>
      <c r="EB153" s="399">
        <v>0</v>
      </c>
      <c r="EC153" s="399">
        <v>-11158.934026907136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227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956</v>
      </c>
      <c r="C154" s="399" t="s">
        <v>2334</v>
      </c>
      <c r="D154" s="399" t="s">
        <v>533</v>
      </c>
      <c r="E154" s="399" t="s">
        <v>890</v>
      </c>
      <c r="F154" s="399" t="s">
        <v>1239</v>
      </c>
      <c r="G154" s="399" t="s">
        <v>1239</v>
      </c>
      <c r="H154" s="399" t="s">
        <v>1239</v>
      </c>
      <c r="I154" s="399" t="s">
        <v>2326</v>
      </c>
      <c r="J154" s="399" t="s">
        <v>2329</v>
      </c>
      <c r="K154" s="789">
        <v>44713</v>
      </c>
      <c r="L154" s="399">
        <v>0</v>
      </c>
      <c r="M154" s="399">
        <v>0</v>
      </c>
      <c r="N154" s="399">
        <v>360.947</v>
      </c>
      <c r="O154" s="399">
        <v>360.947</v>
      </c>
      <c r="P154" s="399">
        <v>360.947</v>
      </c>
      <c r="Q154" s="399">
        <v>360.947</v>
      </c>
      <c r="R154" s="399"/>
      <c r="S154" s="399">
        <v>72.319999999999993</v>
      </c>
      <c r="T154" s="399">
        <v>205.96</v>
      </c>
      <c r="U154" s="399"/>
      <c r="V154" s="399">
        <v>100444.33116</v>
      </c>
      <c r="W154" s="399">
        <v>100444.33116</v>
      </c>
      <c r="X154" s="399">
        <v>101704.03619</v>
      </c>
      <c r="Y154" s="399">
        <v>0</v>
      </c>
      <c r="Z154" s="399">
        <v>19147.325247491895</v>
      </c>
      <c r="AA154" s="399">
        <v>0</v>
      </c>
      <c r="AB154" s="399">
        <v>0</v>
      </c>
      <c r="AC154" s="399">
        <v>0</v>
      </c>
      <c r="AD154" s="399">
        <v>0</v>
      </c>
      <c r="AE154" s="399">
        <v>0</v>
      </c>
      <c r="AF154" s="399">
        <v>72527.169390005933</v>
      </c>
      <c r="AG154" s="399">
        <v>1814.9682103178045</v>
      </c>
      <c r="AH154" s="399">
        <v>0</v>
      </c>
      <c r="AI154" s="399">
        <v>0</v>
      </c>
      <c r="AJ154" s="399">
        <v>0</v>
      </c>
      <c r="AK154" s="399">
        <v>0</v>
      </c>
      <c r="AL154" s="399">
        <v>3401.2652236789586</v>
      </c>
      <c r="AM154" s="399"/>
      <c r="AN154" s="399">
        <v>222.87491100980941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3332.4532283875919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75859.622618393521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101704.8815</v>
      </c>
      <c r="CJ154" s="399">
        <v>1260.5203400000173</v>
      </c>
      <c r="CK154" s="399"/>
      <c r="CL154" s="399"/>
      <c r="CM154" s="399"/>
      <c r="CN154" s="399"/>
      <c r="CO154" s="399">
        <v>-2746.8066699999999</v>
      </c>
      <c r="CP154" s="399">
        <v>4006.5116999999982</v>
      </c>
      <c r="CQ154" s="399">
        <v>30</v>
      </c>
      <c r="CR154" s="399">
        <v>1260.1738211778429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0</v>
      </c>
      <c r="DA154" s="399">
        <v>0</v>
      </c>
      <c r="DB154" s="399">
        <v>0</v>
      </c>
      <c r="DC154" s="399">
        <v>4005.4719634253706</v>
      </c>
      <c r="DD154" s="399">
        <v>0</v>
      </c>
      <c r="DE154" s="399">
        <v>0</v>
      </c>
      <c r="DF154" s="399">
        <v>0</v>
      </c>
      <c r="DG154" s="399">
        <v>184.04203677046735</v>
      </c>
      <c r="DH154" s="399">
        <v>0</v>
      </c>
      <c r="DI154" s="399">
        <v>-2509.1613038385913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-379.74632101735187</v>
      </c>
      <c r="DP154" s="399">
        <v>-40.432554162050224</v>
      </c>
      <c r="DQ154" s="399">
        <v>0</v>
      </c>
      <c r="DR154" s="399">
        <v>0</v>
      </c>
      <c r="DS154" s="399"/>
      <c r="DT154" s="399"/>
      <c r="DU154" s="399"/>
      <c r="DV154" s="399">
        <v>0</v>
      </c>
      <c r="DW154" s="399">
        <v>0</v>
      </c>
      <c r="DX154" s="399">
        <v>0</v>
      </c>
      <c r="DY154" s="399">
        <v>-2746.8066699999981</v>
      </c>
      <c r="DZ154" s="399">
        <v>4006.5117000000027</v>
      </c>
      <c r="EA154" s="399">
        <v>0</v>
      </c>
      <c r="EB154" s="399">
        <v>0</v>
      </c>
      <c r="EC154" s="399">
        <v>0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227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956</v>
      </c>
      <c r="C155" s="399" t="s">
        <v>2334</v>
      </c>
      <c r="D155" s="399" t="s">
        <v>533</v>
      </c>
      <c r="E155" s="399" t="s">
        <v>890</v>
      </c>
      <c r="F155" s="399" t="s">
        <v>1239</v>
      </c>
      <c r="G155" s="399" t="s">
        <v>1239</v>
      </c>
      <c r="H155" s="399" t="s">
        <v>1239</v>
      </c>
      <c r="I155" s="399" t="s">
        <v>1239</v>
      </c>
      <c r="J155" s="399" t="s">
        <v>2329</v>
      </c>
      <c r="K155" s="789">
        <v>44713</v>
      </c>
      <c r="L155" s="399">
        <v>2405</v>
      </c>
      <c r="M155" s="399">
        <v>2405</v>
      </c>
      <c r="N155" s="399">
        <v>0</v>
      </c>
      <c r="O155" s="399">
        <v>0</v>
      </c>
      <c r="P155" s="399">
        <v>0</v>
      </c>
      <c r="Q155" s="399">
        <v>0</v>
      </c>
      <c r="R155" s="399">
        <v>26.79</v>
      </c>
      <c r="S155" s="399"/>
      <c r="T155" s="399"/>
      <c r="U155" s="399">
        <v>64429.95</v>
      </c>
      <c r="V155" s="399"/>
      <c r="W155" s="399">
        <v>64429.95</v>
      </c>
      <c r="X155" s="399">
        <v>36868.65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24224.562191070148</v>
      </c>
      <c r="AE155" s="399">
        <v>40213.614947259462</v>
      </c>
      <c r="AF155" s="399"/>
      <c r="AG155" s="399"/>
      <c r="AH155" s="399"/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0</v>
      </c>
      <c r="AO155" s="399">
        <v>0</v>
      </c>
      <c r="AP155" s="399">
        <v>0</v>
      </c>
      <c r="AQ155" s="399">
        <v>0</v>
      </c>
      <c r="AR155" s="399">
        <v>0</v>
      </c>
      <c r="AS155" s="399"/>
      <c r="AT155" s="399"/>
      <c r="AU155" s="399">
        <v>0</v>
      </c>
      <c r="AV155" s="399">
        <v>0</v>
      </c>
      <c r="AW155" s="399">
        <v>0</v>
      </c>
      <c r="AX155" s="399"/>
      <c r="AY155" s="399"/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/>
      <c r="BG155" s="399">
        <v>0</v>
      </c>
      <c r="BH155" s="399">
        <v>0</v>
      </c>
      <c r="BI155" s="399">
        <v>887.28</v>
      </c>
      <c r="BJ155" s="399">
        <v>4137.3999999999996</v>
      </c>
      <c r="BK155" s="399">
        <v>54151.82</v>
      </c>
      <c r="BL155" s="399">
        <v>12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0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36868.65</v>
      </c>
      <c r="CJ155" s="399">
        <v>-27561.33</v>
      </c>
      <c r="CK155" s="399"/>
      <c r="CL155" s="399"/>
      <c r="CM155" s="399"/>
      <c r="CN155" s="399"/>
      <c r="CO155" s="399">
        <v>-27561.3</v>
      </c>
      <c r="CP155" s="399">
        <v>0</v>
      </c>
      <c r="CQ155" s="399">
        <v>30</v>
      </c>
      <c r="CR155" s="399">
        <v>-3026.4186914519451</v>
      </c>
      <c r="CS155" s="399">
        <v>0</v>
      </c>
      <c r="CT155" s="399">
        <v>0</v>
      </c>
      <c r="CU155" s="399">
        <v>0</v>
      </c>
      <c r="CV155" s="399">
        <v>0</v>
      </c>
      <c r="CW155" s="399"/>
      <c r="CX155" s="399"/>
      <c r="CY155" s="399"/>
      <c r="CZ155" s="399">
        <v>-3026.4186914519451</v>
      </c>
      <c r="DA155" s="399">
        <v>0</v>
      </c>
      <c r="DB155" s="399">
        <v>0</v>
      </c>
      <c r="DC155" s="399"/>
      <c r="DD155" s="399"/>
      <c r="DE155" s="399">
        <v>0</v>
      </c>
      <c r="DF155" s="399">
        <v>0</v>
      </c>
      <c r="DG155" s="399">
        <v>0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/>
      <c r="DN155" s="399">
        <v>0</v>
      </c>
      <c r="DO155" s="399">
        <v>0</v>
      </c>
      <c r="DP155" s="399">
        <v>0</v>
      </c>
      <c r="DQ155" s="399">
        <v>0</v>
      </c>
      <c r="DR155" s="399">
        <v>0</v>
      </c>
      <c r="DS155" s="399"/>
      <c r="DT155" s="399"/>
      <c r="DU155" s="399">
        <v>40213.614947259462</v>
      </c>
      <c r="DV155" s="399"/>
      <c r="DW155" s="399">
        <v>0</v>
      </c>
      <c r="DX155" s="399">
        <v>0</v>
      </c>
      <c r="DY155" s="399">
        <v>-27561.299999999996</v>
      </c>
      <c r="DZ155" s="399"/>
      <c r="EA155" s="399">
        <v>0</v>
      </c>
      <c r="EB155" s="399"/>
      <c r="EC155" s="399">
        <v>-24532.978601373707</v>
      </c>
      <c r="ED155" s="399"/>
      <c r="EE155" s="399">
        <v>0</v>
      </c>
      <c r="EF155" s="399">
        <v>0</v>
      </c>
      <c r="EG155" s="399"/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/>
      <c r="EN155" s="399"/>
      <c r="EO155" s="399">
        <v>0</v>
      </c>
      <c r="EP155" s="399">
        <v>0</v>
      </c>
      <c r="EQ155" s="399"/>
      <c r="ER155" s="399">
        <v>0</v>
      </c>
      <c r="ES155" s="399"/>
      <c r="ET155" s="399">
        <v>0</v>
      </c>
      <c r="EU155" s="399"/>
      <c r="EV155" s="399">
        <v>227</v>
      </c>
      <c r="EW155" s="399"/>
      <c r="EX155" s="399"/>
      <c r="EY155" s="399"/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956</v>
      </c>
      <c r="C156" s="399" t="s">
        <v>2328</v>
      </c>
      <c r="D156" s="399" t="s">
        <v>1826</v>
      </c>
      <c r="E156" s="399" t="s">
        <v>918</v>
      </c>
      <c r="F156" s="399" t="s">
        <v>1239</v>
      </c>
      <c r="G156" s="399" t="s">
        <v>1239</v>
      </c>
      <c r="H156" s="399" t="s">
        <v>1239</v>
      </c>
      <c r="I156" s="399" t="s">
        <v>1239</v>
      </c>
      <c r="J156" s="399" t="s">
        <v>2329</v>
      </c>
      <c r="K156" s="789">
        <v>44713</v>
      </c>
      <c r="L156" s="399">
        <v>0</v>
      </c>
      <c r="M156" s="399">
        <v>0</v>
      </c>
      <c r="N156" s="399">
        <v>16.02</v>
      </c>
      <c r="O156" s="399">
        <v>16.02</v>
      </c>
      <c r="P156" s="399">
        <v>16.02</v>
      </c>
      <c r="Q156" s="399">
        <v>16.02</v>
      </c>
      <c r="R156" s="399"/>
      <c r="S156" s="399">
        <v>425.49</v>
      </c>
      <c r="T156" s="399">
        <v>205.96</v>
      </c>
      <c r="U156" s="399"/>
      <c r="V156" s="399">
        <v>10115.829</v>
      </c>
      <c r="W156" s="399">
        <v>10115.829</v>
      </c>
      <c r="X156" s="399">
        <v>7570.7316000000001</v>
      </c>
      <c r="Y156" s="399">
        <v>0</v>
      </c>
      <c r="Z156" s="399">
        <v>976.8051420062983</v>
      </c>
      <c r="AA156" s="399">
        <v>0</v>
      </c>
      <c r="AB156" s="399">
        <v>0</v>
      </c>
      <c r="AC156" s="399">
        <v>0</v>
      </c>
      <c r="AD156" s="399">
        <v>1298.6176578810971</v>
      </c>
      <c r="AE156" s="399">
        <v>3989.5953308735457</v>
      </c>
      <c r="AF156" s="399">
        <v>3218.9913024014468</v>
      </c>
      <c r="AG156" s="399">
        <v>80.554183105251539</v>
      </c>
      <c r="AH156" s="399">
        <v>0</v>
      </c>
      <c r="AI156" s="399">
        <v>0</v>
      </c>
      <c r="AJ156" s="399">
        <v>0</v>
      </c>
      <c r="AK156" s="399">
        <v>0</v>
      </c>
      <c r="AL156" s="399">
        <v>150.95919590227072</v>
      </c>
      <c r="AM156" s="399"/>
      <c r="AN156" s="399">
        <v>17.332889634753304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383.07770519204826</v>
      </c>
      <c r="BH156" s="399">
        <v>0</v>
      </c>
      <c r="BI156" s="399">
        <v>58.44</v>
      </c>
      <c r="BJ156" s="399">
        <v>272.02</v>
      </c>
      <c r="BK156" s="399">
        <v>2619.8200000000002</v>
      </c>
      <c r="BL156" s="399">
        <v>54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3602.0690075934949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7570.7316000000001</v>
      </c>
      <c r="CJ156" s="399">
        <v>-2545.1274000000003</v>
      </c>
      <c r="CK156" s="399"/>
      <c r="CL156" s="399"/>
      <c r="CM156" s="399"/>
      <c r="CN156" s="399"/>
      <c r="CO156" s="399">
        <v>-2722.9193999999998</v>
      </c>
      <c r="CP156" s="399">
        <v>177.82199999999992</v>
      </c>
      <c r="CQ156" s="399">
        <v>30</v>
      </c>
      <c r="CR156" s="399">
        <v>-111.31074185991656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-162.23867006808382</v>
      </c>
      <c r="DA156" s="399">
        <v>0</v>
      </c>
      <c r="DB156" s="399">
        <v>0</v>
      </c>
      <c r="DC156" s="399">
        <v>177.77585311437542</v>
      </c>
      <c r="DD156" s="399">
        <v>0</v>
      </c>
      <c r="DE156" s="399">
        <v>0</v>
      </c>
      <c r="DF156" s="399">
        <v>0</v>
      </c>
      <c r="DG156" s="399">
        <v>21.156306262403973</v>
      </c>
      <c r="DH156" s="399">
        <v>0</v>
      </c>
      <c r="DI156" s="399">
        <v>-128.00543324106445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-16.854374915702238</v>
      </c>
      <c r="DP156" s="399">
        <v>-3.1444230118443226</v>
      </c>
      <c r="DQ156" s="399">
        <v>0</v>
      </c>
      <c r="DR156" s="399">
        <v>0</v>
      </c>
      <c r="DS156" s="399"/>
      <c r="DT156" s="399"/>
      <c r="DU156" s="399"/>
      <c r="DV156" s="399">
        <v>3989.5953308735457</v>
      </c>
      <c r="DW156" s="399">
        <v>0</v>
      </c>
      <c r="DX156" s="399">
        <v>0</v>
      </c>
      <c r="DY156" s="399">
        <v>-2722.9193999999998</v>
      </c>
      <c r="DZ156" s="399">
        <v>177.82199999999966</v>
      </c>
      <c r="EA156" s="399">
        <v>0</v>
      </c>
      <c r="EB156" s="399">
        <v>0</v>
      </c>
      <c r="EC156" s="399">
        <v>-2433.9183883077212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227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956</v>
      </c>
      <c r="C157" s="399" t="s">
        <v>2328</v>
      </c>
      <c r="D157" s="399" t="s">
        <v>2335</v>
      </c>
      <c r="E157" s="399" t="s">
        <v>894</v>
      </c>
      <c r="F157" s="399" t="s">
        <v>1239</v>
      </c>
      <c r="G157" s="399" t="s">
        <v>1239</v>
      </c>
      <c r="H157" s="399" t="s">
        <v>1239</v>
      </c>
      <c r="I157" s="399" t="s">
        <v>1239</v>
      </c>
      <c r="J157" s="399" t="s">
        <v>2329</v>
      </c>
      <c r="K157" s="789">
        <v>44713</v>
      </c>
      <c r="L157" s="399">
        <v>0</v>
      </c>
      <c r="M157" s="399">
        <v>0</v>
      </c>
      <c r="N157" s="399">
        <v>68.558999999999997</v>
      </c>
      <c r="O157" s="399">
        <v>68.558999999999997</v>
      </c>
      <c r="P157" s="399">
        <v>68.558999999999997</v>
      </c>
      <c r="Q157" s="399">
        <v>68.558999999999997</v>
      </c>
      <c r="R157" s="399"/>
      <c r="S157" s="399">
        <v>425.49</v>
      </c>
      <c r="T157" s="399">
        <v>205.96</v>
      </c>
      <c r="U157" s="399"/>
      <c r="V157" s="399">
        <v>43291.580549999999</v>
      </c>
      <c r="W157" s="399">
        <v>43291.580549999999</v>
      </c>
      <c r="X157" s="399">
        <v>32399.612220000003</v>
      </c>
      <c r="Y157" s="399">
        <v>0</v>
      </c>
      <c r="Z157" s="399">
        <v>4180.323578702235</v>
      </c>
      <c r="AA157" s="399">
        <v>0</v>
      </c>
      <c r="AB157" s="399">
        <v>0</v>
      </c>
      <c r="AC157" s="399">
        <v>0</v>
      </c>
      <c r="AD157" s="399">
        <v>5557.5485647109945</v>
      </c>
      <c r="AE157" s="399">
        <v>17073.824362631676</v>
      </c>
      <c r="AF157" s="399">
        <v>13775.956598086192</v>
      </c>
      <c r="AG157" s="399">
        <v>344.73871657384149</v>
      </c>
      <c r="AH157" s="399">
        <v>0</v>
      </c>
      <c r="AI157" s="399">
        <v>0</v>
      </c>
      <c r="AJ157" s="399">
        <v>0</v>
      </c>
      <c r="AK157" s="399">
        <v>0</v>
      </c>
      <c r="AL157" s="399">
        <v>646.04316553456795</v>
      </c>
      <c r="AM157" s="399"/>
      <c r="AN157" s="399">
        <v>74.177626745883387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1639.4147559464193</v>
      </c>
      <c r="BH157" s="399">
        <v>0</v>
      </c>
      <c r="BI157" s="399">
        <v>135.47</v>
      </c>
      <c r="BJ157" s="399">
        <v>637.79</v>
      </c>
      <c r="BK157" s="399">
        <v>4573.0600000000004</v>
      </c>
      <c r="BL157" s="399">
        <v>240</v>
      </c>
      <c r="BM157" s="399"/>
      <c r="BN157" s="399"/>
      <c r="BO157" s="399"/>
      <c r="BP157" s="399"/>
      <c r="BQ157" s="399"/>
      <c r="BR157" s="399">
        <v>3888.6664800000017</v>
      </c>
      <c r="BS157" s="399"/>
      <c r="BT157" s="399"/>
      <c r="BU157" s="399"/>
      <c r="BV157" s="399">
        <v>15415.371354032612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28511.3616</v>
      </c>
      <c r="CJ157" s="399">
        <v>-9585.5335200000009</v>
      </c>
      <c r="CK157" s="399"/>
      <c r="CL157" s="399"/>
      <c r="CM157" s="399"/>
      <c r="CN157" s="399"/>
      <c r="CO157" s="399">
        <v>-11652.97323</v>
      </c>
      <c r="CP157" s="399">
        <v>761.00489999999957</v>
      </c>
      <c r="CQ157" s="399">
        <v>30</v>
      </c>
      <c r="CR157" s="399">
        <v>-476.36411680236779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-694.31466798987276</v>
      </c>
      <c r="DA157" s="399">
        <v>0</v>
      </c>
      <c r="DB157" s="399">
        <v>0</v>
      </c>
      <c r="DC157" s="399">
        <v>760.80741034135281</v>
      </c>
      <c r="DD157" s="399">
        <v>0</v>
      </c>
      <c r="DE157" s="399">
        <v>0</v>
      </c>
      <c r="DF157" s="399">
        <v>0</v>
      </c>
      <c r="DG157" s="399">
        <v>90.540274721857259</v>
      </c>
      <c r="DH157" s="399">
        <v>0</v>
      </c>
      <c r="DI157" s="399">
        <v>-547.81051795094481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-72.129780889240351</v>
      </c>
      <c r="DP157" s="399">
        <v>-13.456835035520285</v>
      </c>
      <c r="DQ157" s="399">
        <v>0</v>
      </c>
      <c r="DR157" s="399">
        <v>0</v>
      </c>
      <c r="DS157" s="399"/>
      <c r="DT157" s="399"/>
      <c r="DU157" s="399"/>
      <c r="DV157" s="399">
        <v>17073.824362631676</v>
      </c>
      <c r="DW157" s="399">
        <v>0</v>
      </c>
      <c r="DX157" s="399">
        <v>0</v>
      </c>
      <c r="DY157" s="399">
        <v>-11652.97323</v>
      </c>
      <c r="DZ157" s="399">
        <v>761.00489999999991</v>
      </c>
      <c r="EA157" s="399">
        <v>0</v>
      </c>
      <c r="EB157" s="399">
        <v>0</v>
      </c>
      <c r="EC157" s="399">
        <v>-10416.167964044263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227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956</v>
      </c>
      <c r="C158" s="399" t="s">
        <v>2328</v>
      </c>
      <c r="D158" s="399" t="s">
        <v>1826</v>
      </c>
      <c r="E158" s="399" t="s">
        <v>2336</v>
      </c>
      <c r="F158" s="399" t="s">
        <v>1239</v>
      </c>
      <c r="G158" s="399" t="s">
        <v>1239</v>
      </c>
      <c r="H158" s="399" t="s">
        <v>1239</v>
      </c>
      <c r="I158" s="399" t="s">
        <v>1239</v>
      </c>
      <c r="J158" s="399" t="s">
        <v>2329</v>
      </c>
      <c r="K158" s="789">
        <v>44713</v>
      </c>
      <c r="L158" s="399">
        <v>0</v>
      </c>
      <c r="M158" s="399">
        <v>0</v>
      </c>
      <c r="N158" s="399">
        <v>3.3679999999999999</v>
      </c>
      <c r="O158" s="399">
        <v>3.3679999999999999</v>
      </c>
      <c r="P158" s="399">
        <v>3.3679999999999999</v>
      </c>
      <c r="Q158" s="399">
        <v>3.3679999999999999</v>
      </c>
      <c r="R158" s="399"/>
      <c r="S158" s="399">
        <v>425.49</v>
      </c>
      <c r="T158" s="399">
        <v>205.96</v>
      </c>
      <c r="U158" s="399"/>
      <c r="V158" s="399">
        <v>2126.7236000000003</v>
      </c>
      <c r="W158" s="399">
        <v>2126.7236000000003</v>
      </c>
      <c r="X158" s="399">
        <v>1591.6494400000001</v>
      </c>
      <c r="Y158" s="399">
        <v>0</v>
      </c>
      <c r="Z158" s="399">
        <v>205.36078141555635</v>
      </c>
      <c r="AA158" s="399">
        <v>0</v>
      </c>
      <c r="AB158" s="399">
        <v>0</v>
      </c>
      <c r="AC158" s="399">
        <v>0</v>
      </c>
      <c r="AD158" s="399">
        <v>273.01774480296723</v>
      </c>
      <c r="AE158" s="399">
        <v>838.76136544207884</v>
      </c>
      <c r="AF158" s="399">
        <v>676.75172949363753</v>
      </c>
      <c r="AG158" s="399">
        <v>16.935486185923047</v>
      </c>
      <c r="AH158" s="399">
        <v>0</v>
      </c>
      <c r="AI158" s="399">
        <v>0</v>
      </c>
      <c r="AJ158" s="399">
        <v>0</v>
      </c>
      <c r="AK158" s="399">
        <v>0</v>
      </c>
      <c r="AL158" s="399">
        <v>31.737239188442437</v>
      </c>
      <c r="AM158" s="399"/>
      <c r="AN158" s="399">
        <v>3.6440182453089345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80.537185461099781</v>
      </c>
      <c r="BH158" s="399">
        <v>0</v>
      </c>
      <c r="BI158" s="399">
        <v>14.44</v>
      </c>
      <c r="BJ158" s="399">
        <v>66.930000000000007</v>
      </c>
      <c r="BK158" s="399">
        <v>557.61</v>
      </c>
      <c r="BL158" s="399">
        <v>13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757.28891495473727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1592.5946000000001</v>
      </c>
      <c r="CJ158" s="399">
        <v>-534.15899999999988</v>
      </c>
      <c r="CK158" s="399"/>
      <c r="CL158" s="399"/>
      <c r="CM158" s="399"/>
      <c r="CN158" s="399"/>
      <c r="CO158" s="399">
        <v>-572.45895999999993</v>
      </c>
      <c r="CP158" s="399">
        <v>37.384799999999977</v>
      </c>
      <c r="CQ158" s="399">
        <v>30</v>
      </c>
      <c r="CR158" s="399">
        <v>-23.401659087652433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-34.10860429396422</v>
      </c>
      <c r="DA158" s="399">
        <v>0</v>
      </c>
      <c r="DB158" s="399">
        <v>0</v>
      </c>
      <c r="DC158" s="399">
        <v>37.375098207816222</v>
      </c>
      <c r="DD158" s="399">
        <v>0</v>
      </c>
      <c r="DE158" s="399">
        <v>0</v>
      </c>
      <c r="DF158" s="399">
        <v>0</v>
      </c>
      <c r="DG158" s="399">
        <v>4.4478426649049112</v>
      </c>
      <c r="DH158" s="399">
        <v>0</v>
      </c>
      <c r="DI158" s="399">
        <v>-26.91150431684801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-3.5434166489441452</v>
      </c>
      <c r="DP158" s="399">
        <v>-0.66107470061745843</v>
      </c>
      <c r="DQ158" s="399">
        <v>0</v>
      </c>
      <c r="DR158" s="399">
        <v>0</v>
      </c>
      <c r="DS158" s="399"/>
      <c r="DT158" s="399"/>
      <c r="DU158" s="399"/>
      <c r="DV158" s="399">
        <v>838.76136544207884</v>
      </c>
      <c r="DW158" s="399">
        <v>0</v>
      </c>
      <c r="DX158" s="399">
        <v>0</v>
      </c>
      <c r="DY158" s="399">
        <v>-572.45896000000005</v>
      </c>
      <c r="DZ158" s="399">
        <v>37.384800000000041</v>
      </c>
      <c r="EA158" s="399">
        <v>0</v>
      </c>
      <c r="EB158" s="399">
        <v>0</v>
      </c>
      <c r="EC158" s="399">
        <v>-511.70019549440741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227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956</v>
      </c>
      <c r="C159" s="399" t="s">
        <v>2328</v>
      </c>
      <c r="D159" s="399" t="s">
        <v>2337</v>
      </c>
      <c r="E159" s="399" t="s">
        <v>2338</v>
      </c>
      <c r="F159" s="399" t="s">
        <v>2339</v>
      </c>
      <c r="G159" s="399" t="s">
        <v>1239</v>
      </c>
      <c r="H159" s="399" t="s">
        <v>1239</v>
      </c>
      <c r="I159" s="399" t="s">
        <v>1239</v>
      </c>
      <c r="J159" s="399" t="s">
        <v>2329</v>
      </c>
      <c r="K159" s="789">
        <v>44713</v>
      </c>
      <c r="L159" s="399">
        <v>0</v>
      </c>
      <c r="M159" s="399">
        <v>0</v>
      </c>
      <c r="N159" s="399">
        <v>21.32</v>
      </c>
      <c r="O159" s="399">
        <v>21.32</v>
      </c>
      <c r="P159" s="399">
        <v>21.32</v>
      </c>
      <c r="Q159" s="399">
        <v>21.32</v>
      </c>
      <c r="R159" s="399"/>
      <c r="S159" s="399">
        <v>234.02</v>
      </c>
      <c r="T159" s="399">
        <v>113.28</v>
      </c>
      <c r="U159" s="399"/>
      <c r="V159" s="399">
        <v>7404.4360000000006</v>
      </c>
      <c r="W159" s="399">
        <v>7404.4360000000006</v>
      </c>
      <c r="X159" s="399">
        <v>5541.2811999999994</v>
      </c>
      <c r="Y159" s="399">
        <v>0</v>
      </c>
      <c r="Z159" s="399">
        <v>714.98234052221255</v>
      </c>
      <c r="AA159" s="399">
        <v>0</v>
      </c>
      <c r="AB159" s="399">
        <v>0</v>
      </c>
      <c r="AC159" s="399">
        <v>0</v>
      </c>
      <c r="AD159" s="399">
        <v>950.53624571246894</v>
      </c>
      <c r="AE159" s="399">
        <v>2920.2243976169202</v>
      </c>
      <c r="AF159" s="399">
        <v>2356.1730344543853</v>
      </c>
      <c r="AG159" s="399">
        <v>58.962443888400664</v>
      </c>
      <c r="AH159" s="399">
        <v>0</v>
      </c>
      <c r="AI159" s="399">
        <v>0</v>
      </c>
      <c r="AJ159" s="399">
        <v>0</v>
      </c>
      <c r="AK159" s="399">
        <v>0</v>
      </c>
      <c r="AL159" s="399">
        <v>110.49610057116271</v>
      </c>
      <c r="AM159" s="399"/>
      <c r="AN159" s="399">
        <v>12.686982762616578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280.39757622234549</v>
      </c>
      <c r="BH159" s="399">
        <v>0</v>
      </c>
      <c r="BI159" s="399">
        <v>50.47</v>
      </c>
      <c r="BJ159" s="399">
        <v>232.99</v>
      </c>
      <c r="BK159" s="399">
        <v>1941.57</v>
      </c>
      <c r="BL159" s="399">
        <v>2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2636.5706106767307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5541.2811999999994</v>
      </c>
      <c r="CJ159" s="399">
        <v>-1863.1848000000018</v>
      </c>
      <c r="CK159" s="399"/>
      <c r="CL159" s="399"/>
      <c r="CM159" s="399"/>
      <c r="CN159" s="399"/>
      <c r="CO159" s="399">
        <v>-1993.2068000000002</v>
      </c>
      <c r="CP159" s="399">
        <v>130.05199999999988</v>
      </c>
      <c r="CQ159" s="399">
        <v>30</v>
      </c>
      <c r="CR159" s="399">
        <v>-81.475016170355957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-118.75222504484145</v>
      </c>
      <c r="DA159" s="399">
        <v>0</v>
      </c>
      <c r="DB159" s="399">
        <v>0</v>
      </c>
      <c r="DC159" s="399">
        <v>130.12482232331195</v>
      </c>
      <c r="DD159" s="399">
        <v>0</v>
      </c>
      <c r="DE159" s="399">
        <v>0</v>
      </c>
      <c r="DF159" s="399">
        <v>0</v>
      </c>
      <c r="DG159" s="399">
        <v>15.485570988323218</v>
      </c>
      <c r="DH159" s="399">
        <v>0</v>
      </c>
      <c r="DI159" s="399">
        <v>-93.694863307409832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-12.336729104964178</v>
      </c>
      <c r="DP159" s="399">
        <v>-2.3015920247744521</v>
      </c>
      <c r="DQ159" s="399">
        <v>0</v>
      </c>
      <c r="DR159" s="399">
        <v>0</v>
      </c>
      <c r="DS159" s="399"/>
      <c r="DT159" s="399"/>
      <c r="DU159" s="399"/>
      <c r="DV159" s="399">
        <v>2920.2243976169202</v>
      </c>
      <c r="DW159" s="399">
        <v>0</v>
      </c>
      <c r="DX159" s="399">
        <v>0</v>
      </c>
      <c r="DY159" s="399">
        <v>-1993.2068000000004</v>
      </c>
      <c r="DZ159" s="399">
        <v>130.05199999999968</v>
      </c>
      <c r="EA159" s="399">
        <v>0</v>
      </c>
      <c r="EB159" s="399">
        <v>0</v>
      </c>
      <c r="EC159" s="399">
        <v>-1781.5310250497002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227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956</v>
      </c>
      <c r="C160" s="399" t="s">
        <v>2328</v>
      </c>
      <c r="D160" s="399" t="s">
        <v>2335</v>
      </c>
      <c r="E160" s="399" t="s">
        <v>894</v>
      </c>
      <c r="F160" s="399" t="s">
        <v>2342</v>
      </c>
      <c r="G160" s="399" t="s">
        <v>2340</v>
      </c>
      <c r="H160" s="399" t="s">
        <v>1239</v>
      </c>
      <c r="I160" s="399" t="s">
        <v>1239</v>
      </c>
      <c r="J160" s="399" t="s">
        <v>2329</v>
      </c>
      <c r="K160" s="789">
        <v>44713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/>
      <c r="S160" s="399"/>
      <c r="T160" s="399"/>
      <c r="U160" s="399"/>
      <c r="V160" s="399"/>
      <c r="W160" s="399"/>
      <c r="X160" s="399"/>
      <c r="Y160" s="399"/>
      <c r="Z160" s="399"/>
      <c r="AA160" s="399">
        <v>0</v>
      </c>
      <c r="AB160" s="399"/>
      <c r="AC160" s="399"/>
      <c r="AD160" s="399"/>
      <c r="AE160" s="399"/>
      <c r="AF160" s="399"/>
      <c r="AG160" s="399"/>
      <c r="AH160" s="399"/>
      <c r="AI160" s="399"/>
      <c r="AJ160" s="399"/>
      <c r="AK160" s="399"/>
      <c r="AL160" s="399"/>
      <c r="AM160" s="399"/>
      <c r="AN160" s="399"/>
      <c r="AO160" s="399"/>
      <c r="AP160" s="399"/>
      <c r="AQ160" s="399"/>
      <c r="AR160" s="399"/>
      <c r="AS160" s="399"/>
      <c r="AT160" s="399"/>
      <c r="AU160" s="399"/>
      <c r="AV160" s="399"/>
      <c r="AW160" s="399"/>
      <c r="AX160" s="399"/>
      <c r="AY160" s="399"/>
      <c r="AZ160" s="399">
        <v>0</v>
      </c>
      <c r="BA160" s="399"/>
      <c r="BB160" s="399"/>
      <c r="BC160" s="399"/>
      <c r="BD160" s="399"/>
      <c r="BE160" s="399"/>
      <c r="BF160" s="399"/>
      <c r="BG160" s="399"/>
      <c r="BH160" s="399"/>
      <c r="BI160" s="399">
        <v>0.47</v>
      </c>
      <c r="BJ160" s="399">
        <v>2.2200000000000002</v>
      </c>
      <c r="BK160" s="399">
        <v>14.62</v>
      </c>
      <c r="BL160" s="399">
        <v>1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/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/>
      <c r="CJ160" s="399">
        <v>-0.03</v>
      </c>
      <c r="CK160" s="399"/>
      <c r="CL160" s="399"/>
      <c r="CM160" s="399"/>
      <c r="CN160" s="399"/>
      <c r="CO160" s="399">
        <v>0</v>
      </c>
      <c r="CP160" s="399">
        <v>0</v>
      </c>
      <c r="CQ160" s="399">
        <v>30</v>
      </c>
      <c r="CR160" s="399"/>
      <c r="CS160" s="399"/>
      <c r="CT160" s="399"/>
      <c r="CU160" s="399"/>
      <c r="CV160" s="399"/>
      <c r="CW160" s="399"/>
      <c r="CX160" s="399"/>
      <c r="CY160" s="399"/>
      <c r="CZ160" s="399"/>
      <c r="DA160" s="399"/>
      <c r="DB160" s="399"/>
      <c r="DC160" s="399"/>
      <c r="DD160" s="399"/>
      <c r="DE160" s="399"/>
      <c r="DF160" s="399"/>
      <c r="DG160" s="399"/>
      <c r="DH160" s="399"/>
      <c r="DI160" s="399"/>
      <c r="DJ160" s="399"/>
      <c r="DK160" s="399">
        <v>0</v>
      </c>
      <c r="DL160" s="399"/>
      <c r="DM160" s="399"/>
      <c r="DN160" s="399"/>
      <c r="DO160" s="399"/>
      <c r="DP160" s="399"/>
      <c r="DQ160" s="399"/>
      <c r="DR160" s="399"/>
      <c r="DS160" s="399"/>
      <c r="DT160" s="399"/>
      <c r="DU160" s="399"/>
      <c r="DV160" s="399"/>
      <c r="DW160" s="399"/>
      <c r="DX160" s="399"/>
      <c r="DY160" s="399"/>
      <c r="DZ160" s="399"/>
      <c r="EA160" s="399"/>
      <c r="EB160" s="399"/>
      <c r="EC160" s="399"/>
      <c r="ED160" s="399"/>
      <c r="EE160" s="399"/>
      <c r="EF160" s="399"/>
      <c r="EG160" s="399"/>
      <c r="EH160" s="399"/>
      <c r="EI160" s="399"/>
      <c r="EJ160" s="399"/>
      <c r="EK160" s="399"/>
      <c r="EL160" s="399"/>
      <c r="EM160" s="399"/>
      <c r="EN160" s="399"/>
      <c r="EO160" s="399"/>
      <c r="EP160" s="399"/>
      <c r="EQ160" s="399"/>
      <c r="ER160" s="399"/>
      <c r="ES160" s="399"/>
      <c r="ET160" s="399"/>
      <c r="EU160" s="399"/>
      <c r="EV160" s="399">
        <v>227</v>
      </c>
      <c r="EW160" s="399"/>
      <c r="EX160" s="399"/>
      <c r="EY160" s="399"/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956</v>
      </c>
      <c r="C161" s="399" t="s">
        <v>2328</v>
      </c>
      <c r="D161" s="399" t="s">
        <v>2335</v>
      </c>
      <c r="E161" s="399" t="s">
        <v>894</v>
      </c>
      <c r="F161" s="399" t="s">
        <v>2342</v>
      </c>
      <c r="G161" s="399" t="s">
        <v>2340</v>
      </c>
      <c r="H161" s="399" t="s">
        <v>1239</v>
      </c>
      <c r="I161" s="399" t="s">
        <v>1239</v>
      </c>
      <c r="J161" s="399" t="s">
        <v>2329</v>
      </c>
      <c r="K161" s="789">
        <v>44713</v>
      </c>
      <c r="L161" s="399">
        <v>0</v>
      </c>
      <c r="M161" s="399">
        <v>0</v>
      </c>
      <c r="N161" s="399">
        <v>0.19500000000000001</v>
      </c>
      <c r="O161" s="399">
        <v>0.19500000000000001</v>
      </c>
      <c r="P161" s="399">
        <v>0.19500000000000001</v>
      </c>
      <c r="Q161" s="399">
        <v>0.19500000000000001</v>
      </c>
      <c r="R161" s="399"/>
      <c r="S161" s="399">
        <v>425.49</v>
      </c>
      <c r="T161" s="399">
        <v>205.96</v>
      </c>
      <c r="U161" s="399"/>
      <c r="V161" s="399">
        <v>123.13275000000002</v>
      </c>
      <c r="W161" s="399">
        <v>123.13275000000002</v>
      </c>
      <c r="X161" s="399">
        <v>92.153100000000009</v>
      </c>
      <c r="Y161" s="399">
        <v>0</v>
      </c>
      <c r="Z161" s="399">
        <v>11.889950230413744</v>
      </c>
      <c r="AA161" s="399">
        <v>0</v>
      </c>
      <c r="AB161" s="399">
        <v>0</v>
      </c>
      <c r="AC161" s="399">
        <v>0</v>
      </c>
      <c r="AD161" s="399">
        <v>15.807143775706239</v>
      </c>
      <c r="AE161" s="399">
        <v>48.562489982543163</v>
      </c>
      <c r="AF161" s="399">
        <v>39.182478400017615</v>
      </c>
      <c r="AG161" s="399">
        <v>0.98052844603770617</v>
      </c>
      <c r="AH161" s="399">
        <v>0</v>
      </c>
      <c r="AI161" s="399">
        <v>0</v>
      </c>
      <c r="AJ161" s="399">
        <v>0</v>
      </c>
      <c r="AK161" s="399">
        <v>0</v>
      </c>
      <c r="AL161" s="399">
        <v>1.8375183021811983</v>
      </c>
      <c r="AM161" s="399"/>
      <c r="AN161" s="399">
        <v>0.21098086634063012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4.662930868442535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>
        <v>11.060400000000005</v>
      </c>
      <c r="BS161" s="399"/>
      <c r="BT161" s="399"/>
      <c r="BU161" s="399"/>
      <c r="BV161" s="399">
        <v>43.845409268460152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83.171999999999997</v>
      </c>
      <c r="CJ161" s="399">
        <v>-25.215600000000023</v>
      </c>
      <c r="CK161" s="399"/>
      <c r="CL161" s="399"/>
      <c r="CM161" s="399"/>
      <c r="CN161" s="399"/>
      <c r="CO161" s="399">
        <v>-33.144150000000003</v>
      </c>
      <c r="CP161" s="399">
        <v>2.164499999999999</v>
      </c>
      <c r="CQ161" s="399">
        <v>30</v>
      </c>
      <c r="CR161" s="399">
        <v>-1.3549060338753947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-1.9748152723643173</v>
      </c>
      <c r="DA161" s="399">
        <v>0</v>
      </c>
      <c r="DB161" s="399">
        <v>0</v>
      </c>
      <c r="DC161" s="399">
        <v>2.163938286972737</v>
      </c>
      <c r="DD161" s="399">
        <v>0</v>
      </c>
      <c r="DE161" s="399">
        <v>0</v>
      </c>
      <c r="DF161" s="399">
        <v>0</v>
      </c>
      <c r="DG161" s="399">
        <v>0.25752058184574178</v>
      </c>
      <c r="DH161" s="399">
        <v>0</v>
      </c>
      <c r="DI161" s="399">
        <v>-1.5581185694137059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-0.20515624897390383</v>
      </c>
      <c r="DP161" s="399">
        <v>-3.827481194192528E-2</v>
      </c>
      <c r="DQ161" s="399">
        <v>0</v>
      </c>
      <c r="DR161" s="399">
        <v>0</v>
      </c>
      <c r="DS161" s="399"/>
      <c r="DT161" s="399"/>
      <c r="DU161" s="399"/>
      <c r="DV161" s="399">
        <v>48.562489982543163</v>
      </c>
      <c r="DW161" s="399">
        <v>0</v>
      </c>
      <c r="DX161" s="399">
        <v>0</v>
      </c>
      <c r="DY161" s="399">
        <v>-33.144149999999996</v>
      </c>
      <c r="DZ161" s="399">
        <v>2.1644999999999968</v>
      </c>
      <c r="EA161" s="399">
        <v>0</v>
      </c>
      <c r="EB161" s="399">
        <v>0</v>
      </c>
      <c r="EC161" s="399">
        <v>-29.626347423221329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227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956</v>
      </c>
      <c r="C162" s="399" t="s">
        <v>2328</v>
      </c>
      <c r="D162" s="399" t="s">
        <v>2335</v>
      </c>
      <c r="E162" s="399" t="s">
        <v>894</v>
      </c>
      <c r="F162" s="399" t="s">
        <v>2342</v>
      </c>
      <c r="G162" s="399" t="s">
        <v>2341</v>
      </c>
      <c r="H162" s="399" t="s">
        <v>1239</v>
      </c>
      <c r="I162" s="399" t="s">
        <v>1239</v>
      </c>
      <c r="J162" s="399" t="s">
        <v>2329</v>
      </c>
      <c r="K162" s="789">
        <v>44713</v>
      </c>
      <c r="L162" s="399">
        <v>0</v>
      </c>
      <c r="M162" s="399">
        <v>0</v>
      </c>
      <c r="N162" s="399">
        <v>0.14099999999999999</v>
      </c>
      <c r="O162" s="399">
        <v>5.6399999999999999E-2</v>
      </c>
      <c r="P162" s="399">
        <v>0.14099999999999999</v>
      </c>
      <c r="Q162" s="399">
        <v>5.6399999999999999E-2</v>
      </c>
      <c r="R162" s="399"/>
      <c r="S162" s="399">
        <v>425.49</v>
      </c>
      <c r="T162" s="399">
        <v>205.96</v>
      </c>
      <c r="U162" s="399"/>
      <c r="V162" s="399">
        <v>89.034449999999993</v>
      </c>
      <c r="W162" s="399">
        <v>89.034449999999993</v>
      </c>
      <c r="X162" s="399">
        <v>66.633780000000002</v>
      </c>
      <c r="Y162" s="399">
        <v>0</v>
      </c>
      <c r="Z162" s="399">
        <v>8.5973486281453209</v>
      </c>
      <c r="AA162" s="399">
        <v>0</v>
      </c>
      <c r="AB162" s="399">
        <v>0</v>
      </c>
      <c r="AC162" s="399">
        <v>0</v>
      </c>
      <c r="AD162" s="399">
        <v>11.429780883972201</v>
      </c>
      <c r="AE162" s="399">
        <v>35.114415833531204</v>
      </c>
      <c r="AF162" s="399">
        <v>28.331945920012735</v>
      </c>
      <c r="AG162" s="399">
        <v>0.70899749175034121</v>
      </c>
      <c r="AH162" s="399">
        <v>0</v>
      </c>
      <c r="AI162" s="399">
        <v>0</v>
      </c>
      <c r="AJ162" s="399">
        <v>0</v>
      </c>
      <c r="AK162" s="399">
        <v>0</v>
      </c>
      <c r="AL162" s="399">
        <v>1.3286670800387124</v>
      </c>
      <c r="AM162" s="399"/>
      <c r="AN162" s="399">
        <v>0.15255539566168638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3.371657704873833</v>
      </c>
      <c r="BH162" s="399">
        <v>0</v>
      </c>
      <c r="BI162" s="399">
        <v>0</v>
      </c>
      <c r="BJ162" s="399">
        <v>0</v>
      </c>
      <c r="BK162" s="399">
        <v>0</v>
      </c>
      <c r="BL162" s="399">
        <v>0</v>
      </c>
      <c r="BM162" s="399"/>
      <c r="BN162" s="399"/>
      <c r="BO162" s="399"/>
      <c r="BP162" s="399"/>
      <c r="BQ162" s="399"/>
      <c r="BR162" s="399"/>
      <c r="BS162" s="399">
        <v>43.179276000000002</v>
      </c>
      <c r="BT162" s="399"/>
      <c r="BU162" s="399"/>
      <c r="BV162" s="399">
        <v>31.703603624886568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24.951599999999999</v>
      </c>
      <c r="CJ162" s="399">
        <v>-6.4187520000000049</v>
      </c>
      <c r="CK162" s="399"/>
      <c r="CL162" s="399"/>
      <c r="CM162" s="399"/>
      <c r="CN162" s="399"/>
      <c r="CO162" s="399">
        <v>-23.965769999999999</v>
      </c>
      <c r="CP162" s="399">
        <v>1.565099999999999</v>
      </c>
      <c r="CQ162" s="399">
        <v>30</v>
      </c>
      <c r="CR162" s="399">
        <v>-0.97970128603297013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-1.4279433507865047</v>
      </c>
      <c r="DA162" s="399">
        <v>0</v>
      </c>
      <c r="DB162" s="399">
        <v>0</v>
      </c>
      <c r="DC162" s="399">
        <v>1.5646938382725892</v>
      </c>
      <c r="DD162" s="399">
        <v>0</v>
      </c>
      <c r="DE162" s="399">
        <v>0</v>
      </c>
      <c r="DF162" s="399">
        <v>0</v>
      </c>
      <c r="DG162" s="399">
        <v>0.18620718994999752</v>
      </c>
      <c r="DH162" s="399">
        <v>0</v>
      </c>
      <c r="DI162" s="399">
        <v>-1.1266395809606786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-0.14834374925805349</v>
      </c>
      <c r="DP162" s="399">
        <v>-2.7675633250315204E-2</v>
      </c>
      <c r="DQ162" s="399">
        <v>0</v>
      </c>
      <c r="DR162" s="399">
        <v>0</v>
      </c>
      <c r="DS162" s="399"/>
      <c r="DT162" s="399"/>
      <c r="DU162" s="399"/>
      <c r="DV162" s="399">
        <v>35.114415833531204</v>
      </c>
      <c r="DW162" s="399">
        <v>0</v>
      </c>
      <c r="DX162" s="399">
        <v>0</v>
      </c>
      <c r="DY162" s="399">
        <v>-23.965769999999992</v>
      </c>
      <c r="DZ162" s="399">
        <v>1.5650999999999975</v>
      </c>
      <c r="EA162" s="399">
        <v>0</v>
      </c>
      <c r="EB162" s="399">
        <v>0</v>
      </c>
      <c r="EC162" s="399">
        <v>-21.422128136790803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227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956</v>
      </c>
      <c r="C163" s="399" t="s">
        <v>2328</v>
      </c>
      <c r="D163" s="399" t="s">
        <v>1823</v>
      </c>
      <c r="E163" s="399" t="s">
        <v>889</v>
      </c>
      <c r="F163" s="399" t="s">
        <v>889</v>
      </c>
      <c r="G163" s="399" t="s">
        <v>1239</v>
      </c>
      <c r="H163" s="399" t="s">
        <v>1239</v>
      </c>
      <c r="I163" s="399" t="s">
        <v>1239</v>
      </c>
      <c r="J163" s="399" t="s">
        <v>2329</v>
      </c>
      <c r="K163" s="789">
        <v>44743</v>
      </c>
      <c r="L163" s="399">
        <v>0</v>
      </c>
      <c r="M163" s="399">
        <v>0</v>
      </c>
      <c r="N163" s="399">
        <v>199.191</v>
      </c>
      <c r="O163" s="399">
        <v>199.191</v>
      </c>
      <c r="P163" s="399">
        <v>199.191</v>
      </c>
      <c r="Q163" s="399">
        <v>199.191</v>
      </c>
      <c r="R163" s="399"/>
      <c r="S163" s="399">
        <v>425.49</v>
      </c>
      <c r="T163" s="399">
        <v>205.96</v>
      </c>
      <c r="U163" s="399"/>
      <c r="V163" s="399">
        <v>125779.15695</v>
      </c>
      <c r="W163" s="399">
        <v>125779.15695</v>
      </c>
      <c r="X163" s="399">
        <v>94133.682780000003</v>
      </c>
      <c r="Y163" s="399">
        <v>0</v>
      </c>
      <c r="Z163" s="399">
        <v>12145.49269921202</v>
      </c>
      <c r="AA163" s="399">
        <v>0</v>
      </c>
      <c r="AB163" s="399">
        <v>0</v>
      </c>
      <c r="AC163" s="399">
        <v>0</v>
      </c>
      <c r="AD163" s="399">
        <v>16146.875773470263</v>
      </c>
      <c r="AE163" s="399">
        <v>49606.209959552594</v>
      </c>
      <c r="AF163" s="399">
        <v>40024.600281937994</v>
      </c>
      <c r="AG163" s="399">
        <v>1001.6022651010088</v>
      </c>
      <c r="AH163" s="399">
        <v>0</v>
      </c>
      <c r="AI163" s="399">
        <v>0</v>
      </c>
      <c r="AJ163" s="399">
        <v>0</v>
      </c>
      <c r="AK163" s="399">
        <v>0</v>
      </c>
      <c r="AL163" s="399">
        <v>1877.0108109219234</v>
      </c>
      <c r="AM163" s="399"/>
      <c r="AN163" s="399">
        <v>215.51533203721257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4763.1480134150615</v>
      </c>
      <c r="BH163" s="399">
        <v>0</v>
      </c>
      <c r="BI163" s="399">
        <v>406.7</v>
      </c>
      <c r="BJ163" s="399">
        <v>1879.37</v>
      </c>
      <c r="BK163" s="399">
        <v>16061.84</v>
      </c>
      <c r="BL163" s="399">
        <v>940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44787.748295353056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94133.210200000001</v>
      </c>
      <c r="CJ163" s="399">
        <v>-31645.976749999987</v>
      </c>
      <c r="CK163" s="399"/>
      <c r="CL163" s="399"/>
      <c r="CM163" s="399"/>
      <c r="CN163" s="399"/>
      <c r="CO163" s="399">
        <v>-33856.494270000003</v>
      </c>
      <c r="CP163" s="399">
        <v>2211.0200999999988</v>
      </c>
      <c r="CQ163" s="399">
        <v>31</v>
      </c>
      <c r="CR163" s="399">
        <v>-1384.026091249616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-2017.2586098334396</v>
      </c>
      <c r="DA163" s="399">
        <v>0</v>
      </c>
      <c r="DB163" s="399">
        <v>0</v>
      </c>
      <c r="DC163" s="399">
        <v>2210.4463144635156</v>
      </c>
      <c r="DD163" s="399">
        <v>0</v>
      </c>
      <c r="DE163" s="399">
        <v>0</v>
      </c>
      <c r="DF163" s="399">
        <v>0</v>
      </c>
      <c r="DG163" s="399">
        <v>263.05529342787213</v>
      </c>
      <c r="DH163" s="399">
        <v>0</v>
      </c>
      <c r="DI163" s="399">
        <v>-1591.6061331286419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-209.56553020185061</v>
      </c>
      <c r="DP163" s="399">
        <v>-39.097425977046356</v>
      </c>
      <c r="DQ163" s="399">
        <v>0</v>
      </c>
      <c r="DR163" s="399">
        <v>0</v>
      </c>
      <c r="DS163" s="399"/>
      <c r="DT163" s="399"/>
      <c r="DU163" s="399"/>
      <c r="DV163" s="399">
        <v>49606.209959552594</v>
      </c>
      <c r="DW163" s="399">
        <v>0</v>
      </c>
      <c r="DX163" s="399">
        <v>0</v>
      </c>
      <c r="DY163" s="399">
        <v>-33856.494269999996</v>
      </c>
      <c r="DZ163" s="399">
        <v>2211.0201000000015</v>
      </c>
      <c r="EA163" s="399">
        <v>0</v>
      </c>
      <c r="EB163" s="399">
        <v>0</v>
      </c>
      <c r="EC163" s="399">
        <v>-30263.085997840415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227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956</v>
      </c>
      <c r="C164" s="399" t="s">
        <v>2328</v>
      </c>
      <c r="D164" s="399" t="s">
        <v>1823</v>
      </c>
      <c r="E164" s="399" t="s">
        <v>889</v>
      </c>
      <c r="F164" s="399" t="s">
        <v>2330</v>
      </c>
      <c r="G164" s="399" t="s">
        <v>1239</v>
      </c>
      <c r="H164" s="399" t="s">
        <v>1239</v>
      </c>
      <c r="I164" s="399" t="s">
        <v>1239</v>
      </c>
      <c r="J164" s="399" t="s">
        <v>2329</v>
      </c>
      <c r="K164" s="789">
        <v>44743</v>
      </c>
      <c r="L164" s="399">
        <v>0</v>
      </c>
      <c r="M164" s="399">
        <v>0</v>
      </c>
      <c r="N164" s="399">
        <v>0.56999999999999995</v>
      </c>
      <c r="O164" s="399">
        <v>0.56999999999999995</v>
      </c>
      <c r="P164" s="399">
        <v>0.56999999999999995</v>
      </c>
      <c r="Q164" s="399">
        <v>0.56999999999999995</v>
      </c>
      <c r="R164" s="399"/>
      <c r="S164" s="399">
        <v>355.1</v>
      </c>
      <c r="T164" s="399">
        <v>205.96</v>
      </c>
      <c r="U164" s="399"/>
      <c r="V164" s="399">
        <v>319.80419999999998</v>
      </c>
      <c r="W164" s="399">
        <v>319.80419999999998</v>
      </c>
      <c r="X164" s="399">
        <v>234.3954</v>
      </c>
      <c r="Y164" s="399">
        <v>0</v>
      </c>
      <c r="Z164" s="399">
        <v>0</v>
      </c>
      <c r="AA164" s="399">
        <v>0</v>
      </c>
      <c r="AB164" s="399">
        <v>0</v>
      </c>
      <c r="AC164" s="399">
        <v>0</v>
      </c>
      <c r="AD164" s="399">
        <v>46.205497190525925</v>
      </c>
      <c r="AE164" s="399">
        <v>141.95189379512615</v>
      </c>
      <c r="AF164" s="399">
        <v>114.53339840005148</v>
      </c>
      <c r="AG164" s="399">
        <v>2.8661600730332943</v>
      </c>
      <c r="AH164" s="399">
        <v>0</v>
      </c>
      <c r="AI164" s="399">
        <v>0</v>
      </c>
      <c r="AJ164" s="399">
        <v>0</v>
      </c>
      <c r="AK164" s="399">
        <v>0</v>
      </c>
      <c r="AL164" s="399">
        <v>0</v>
      </c>
      <c r="AM164" s="399"/>
      <c r="AN164" s="399">
        <v>0.61671330161107263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13.630105615447409</v>
      </c>
      <c r="BH164" s="399">
        <v>0</v>
      </c>
      <c r="BI164" s="399">
        <v>0.48</v>
      </c>
      <c r="BJ164" s="399">
        <v>2.23</v>
      </c>
      <c r="BK164" s="399">
        <v>11.5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>
        <v>152.3553</v>
      </c>
      <c r="BU164" s="399"/>
      <c r="BV164" s="399">
        <v>128.16350401549889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82.040099999999995</v>
      </c>
      <c r="CJ164" s="399">
        <v>-29.9208</v>
      </c>
      <c r="CK164" s="399"/>
      <c r="CL164" s="399"/>
      <c r="CM164" s="399"/>
      <c r="CN164" s="399"/>
      <c r="CO164" s="399">
        <v>-91.735800000000012</v>
      </c>
      <c r="CP164" s="399">
        <v>6.3269999999999964</v>
      </c>
      <c r="CQ164" s="399">
        <v>31</v>
      </c>
      <c r="CR164" s="399">
        <v>1.1936933701126407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-5.7725369499880088</v>
      </c>
      <c r="DA164" s="399">
        <v>0</v>
      </c>
      <c r="DB164" s="399">
        <v>0</v>
      </c>
      <c r="DC164" s="399">
        <v>6.325358069612605</v>
      </c>
      <c r="DD164" s="399">
        <v>0</v>
      </c>
      <c r="DE164" s="399">
        <v>0</v>
      </c>
      <c r="DF164" s="399">
        <v>0</v>
      </c>
      <c r="DG164" s="399">
        <v>0.75275247001062873</v>
      </c>
      <c r="DH164" s="399">
        <v>0</v>
      </c>
      <c r="DI164" s="399">
        <v>0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0</v>
      </c>
      <c r="DP164" s="399">
        <v>-0.11188021952255089</v>
      </c>
      <c r="DQ164" s="399">
        <v>0</v>
      </c>
      <c r="DR164" s="399">
        <v>0</v>
      </c>
      <c r="DS164" s="399"/>
      <c r="DT164" s="399"/>
      <c r="DU164" s="399"/>
      <c r="DV164" s="399">
        <v>141.95189379512615</v>
      </c>
      <c r="DW164" s="399">
        <v>0</v>
      </c>
      <c r="DX164" s="399">
        <v>0</v>
      </c>
      <c r="DY164" s="399">
        <v>-91.735799999999998</v>
      </c>
      <c r="DZ164" s="399">
        <v>6.3269999999999982</v>
      </c>
      <c r="EA164" s="399">
        <v>0</v>
      </c>
      <c r="EB164" s="399">
        <v>0</v>
      </c>
      <c r="EC164" s="399">
        <v>-86.60009246787773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227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956</v>
      </c>
      <c r="C165" s="399" t="s">
        <v>2328</v>
      </c>
      <c r="D165" s="399" t="s">
        <v>1823</v>
      </c>
      <c r="E165" s="399" t="s">
        <v>889</v>
      </c>
      <c r="F165" s="399" t="s">
        <v>2331</v>
      </c>
      <c r="G165" s="399" t="s">
        <v>1239</v>
      </c>
      <c r="H165" s="399" t="s">
        <v>1239</v>
      </c>
      <c r="I165" s="399" t="s">
        <v>1239</v>
      </c>
      <c r="J165" s="399" t="s">
        <v>2329</v>
      </c>
      <c r="K165" s="789">
        <v>44743</v>
      </c>
      <c r="L165" s="399">
        <v>0</v>
      </c>
      <c r="M165" s="399">
        <v>0</v>
      </c>
      <c r="N165" s="399">
        <v>1.25</v>
      </c>
      <c r="O165" s="399">
        <v>1.25</v>
      </c>
      <c r="P165" s="399">
        <v>1.25</v>
      </c>
      <c r="Q165" s="399">
        <v>1.25</v>
      </c>
      <c r="R165" s="399"/>
      <c r="S165" s="399">
        <v>355.1</v>
      </c>
      <c r="T165" s="399">
        <v>205.96</v>
      </c>
      <c r="U165" s="399"/>
      <c r="V165" s="399">
        <v>701.32500000000005</v>
      </c>
      <c r="W165" s="399">
        <v>701.32500000000005</v>
      </c>
      <c r="X165" s="399">
        <v>514.02499999999998</v>
      </c>
      <c r="Y165" s="399">
        <v>0</v>
      </c>
      <c r="Z165" s="399">
        <v>0</v>
      </c>
      <c r="AA165" s="399">
        <v>0</v>
      </c>
      <c r="AB165" s="399">
        <v>0</v>
      </c>
      <c r="AC165" s="399">
        <v>0</v>
      </c>
      <c r="AD165" s="399">
        <v>101.32784471606563</v>
      </c>
      <c r="AE165" s="399">
        <v>311.29801270861003</v>
      </c>
      <c r="AF165" s="399">
        <v>251.16973333344623</v>
      </c>
      <c r="AG165" s="399">
        <v>6.2854387566519616</v>
      </c>
      <c r="AH165" s="399">
        <v>0</v>
      </c>
      <c r="AI165" s="399">
        <v>0</v>
      </c>
      <c r="AJ165" s="399">
        <v>0</v>
      </c>
      <c r="AK165" s="399">
        <v>0</v>
      </c>
      <c r="AL165" s="399">
        <v>0</v>
      </c>
      <c r="AM165" s="399"/>
      <c r="AN165" s="399">
        <v>1.3524414509014751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29.89058249001625</v>
      </c>
      <c r="BH165" s="399">
        <v>0</v>
      </c>
      <c r="BI165" s="399">
        <v>1.77</v>
      </c>
      <c r="BJ165" s="399">
        <v>8.4600000000000009</v>
      </c>
      <c r="BK165" s="399">
        <v>43.46</v>
      </c>
      <c r="BL165" s="399">
        <v>3</v>
      </c>
      <c r="BM165" s="399"/>
      <c r="BN165" s="399"/>
      <c r="BO165" s="399"/>
      <c r="BP165" s="399"/>
      <c r="BQ165" s="399"/>
      <c r="BR165" s="399"/>
      <c r="BS165" s="399"/>
      <c r="BT165" s="399">
        <v>205.59999999999997</v>
      </c>
      <c r="BU165" s="399"/>
      <c r="BV165" s="399">
        <v>281.06031582346247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308.42500000000001</v>
      </c>
      <c r="CJ165" s="399">
        <v>-112.40499999999992</v>
      </c>
      <c r="CK165" s="399"/>
      <c r="CL165" s="399"/>
      <c r="CM165" s="399"/>
      <c r="CN165" s="399"/>
      <c r="CO165" s="399">
        <v>-201.17500000000004</v>
      </c>
      <c r="CP165" s="399">
        <v>13.874999999999993</v>
      </c>
      <c r="CQ165" s="399">
        <v>31</v>
      </c>
      <c r="CR165" s="399">
        <v>2.6177486186682017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-12.659072258745624</v>
      </c>
      <c r="DA165" s="399">
        <v>0</v>
      </c>
      <c r="DB165" s="399">
        <v>0</v>
      </c>
      <c r="DC165" s="399">
        <v>13.871399275466274</v>
      </c>
      <c r="DD165" s="399">
        <v>0</v>
      </c>
      <c r="DE165" s="399">
        <v>0</v>
      </c>
      <c r="DF165" s="399">
        <v>0</v>
      </c>
      <c r="DG165" s="399">
        <v>1.6507729605496237</v>
      </c>
      <c r="DH165" s="399">
        <v>0</v>
      </c>
      <c r="DI165" s="399">
        <v>0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0</v>
      </c>
      <c r="DP165" s="399">
        <v>-0.24535135860208501</v>
      </c>
      <c r="DQ165" s="399">
        <v>0</v>
      </c>
      <c r="DR165" s="399">
        <v>0</v>
      </c>
      <c r="DS165" s="399"/>
      <c r="DT165" s="399"/>
      <c r="DU165" s="399"/>
      <c r="DV165" s="399">
        <v>311.29801270861003</v>
      </c>
      <c r="DW165" s="399">
        <v>0</v>
      </c>
      <c r="DX165" s="399">
        <v>0</v>
      </c>
      <c r="DY165" s="399">
        <v>-201.17500000000001</v>
      </c>
      <c r="DZ165" s="399">
        <v>13.875</v>
      </c>
      <c r="EA165" s="399">
        <v>0</v>
      </c>
      <c r="EB165" s="399">
        <v>0</v>
      </c>
      <c r="EC165" s="399">
        <v>-189.91248348218804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227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956</v>
      </c>
      <c r="C166" s="399" t="s">
        <v>2328</v>
      </c>
      <c r="D166" s="399" t="s">
        <v>1823</v>
      </c>
      <c r="E166" s="399" t="s">
        <v>889</v>
      </c>
      <c r="F166" s="399" t="s">
        <v>2332</v>
      </c>
      <c r="G166" s="399" t="s">
        <v>1239</v>
      </c>
      <c r="H166" s="399" t="s">
        <v>1239</v>
      </c>
      <c r="I166" s="399" t="s">
        <v>1239</v>
      </c>
      <c r="J166" s="399" t="s">
        <v>2329</v>
      </c>
      <c r="K166" s="789">
        <v>44743</v>
      </c>
      <c r="L166" s="399">
        <v>0</v>
      </c>
      <c r="M166" s="399">
        <v>0</v>
      </c>
      <c r="N166" s="399">
        <v>1.173</v>
      </c>
      <c r="O166" s="399">
        <v>1.173</v>
      </c>
      <c r="P166" s="399">
        <v>1.173</v>
      </c>
      <c r="Q166" s="399">
        <v>1.173</v>
      </c>
      <c r="R166" s="399"/>
      <c r="S166" s="399">
        <v>355.1</v>
      </c>
      <c r="T166" s="399">
        <v>205.96</v>
      </c>
      <c r="U166" s="399"/>
      <c r="V166" s="399">
        <v>658.12338</v>
      </c>
      <c r="W166" s="399">
        <v>658.12338</v>
      </c>
      <c r="X166" s="399">
        <v>482.36106000000007</v>
      </c>
      <c r="Y166" s="399">
        <v>0</v>
      </c>
      <c r="Z166" s="399">
        <v>0</v>
      </c>
      <c r="AA166" s="399">
        <v>0</v>
      </c>
      <c r="AB166" s="399">
        <v>0</v>
      </c>
      <c r="AC166" s="399">
        <v>0</v>
      </c>
      <c r="AD166" s="399">
        <v>95.086049481555989</v>
      </c>
      <c r="AE166" s="399">
        <v>292.12205512575963</v>
      </c>
      <c r="AF166" s="399">
        <v>235.69767776010596</v>
      </c>
      <c r="AG166" s="399">
        <v>5.8982557292422015</v>
      </c>
      <c r="AH166" s="399">
        <v>0</v>
      </c>
      <c r="AI166" s="399">
        <v>0</v>
      </c>
      <c r="AJ166" s="399">
        <v>0</v>
      </c>
      <c r="AK166" s="399">
        <v>0</v>
      </c>
      <c r="AL166" s="399">
        <v>0</v>
      </c>
      <c r="AM166" s="399"/>
      <c r="AN166" s="399">
        <v>1.2691310575259442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28.04932260863125</v>
      </c>
      <c r="BH166" s="399">
        <v>0</v>
      </c>
      <c r="BI166" s="399">
        <v>2.73</v>
      </c>
      <c r="BJ166" s="399">
        <v>12.47</v>
      </c>
      <c r="BK166" s="399">
        <v>73.87</v>
      </c>
      <c r="BL166" s="399">
        <v>12</v>
      </c>
      <c r="BM166" s="399"/>
      <c r="BN166" s="399"/>
      <c r="BO166" s="399"/>
      <c r="BP166" s="399"/>
      <c r="BQ166" s="399"/>
      <c r="BR166" s="399"/>
      <c r="BS166" s="399"/>
      <c r="BT166" s="399">
        <v>48.222029999999982</v>
      </c>
      <c r="BU166" s="399"/>
      <c r="BV166" s="399">
        <v>263.74700036873719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433.02869999999996</v>
      </c>
      <c r="CJ166" s="399">
        <v>-159.31938000000002</v>
      </c>
      <c r="CK166" s="399"/>
      <c r="CL166" s="399"/>
      <c r="CM166" s="399"/>
      <c r="CN166" s="399"/>
      <c r="CO166" s="399">
        <v>-188.78262000000004</v>
      </c>
      <c r="CP166" s="399">
        <v>13.020299999999994</v>
      </c>
      <c r="CQ166" s="399">
        <v>31</v>
      </c>
      <c r="CR166" s="399">
        <v>2.4564953037582313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-11.879273407606888</v>
      </c>
      <c r="DA166" s="399">
        <v>0</v>
      </c>
      <c r="DB166" s="399">
        <v>0</v>
      </c>
      <c r="DC166" s="399">
        <v>13.016921080097518</v>
      </c>
      <c r="DD166" s="399">
        <v>0</v>
      </c>
      <c r="DE166" s="399">
        <v>0</v>
      </c>
      <c r="DF166" s="399">
        <v>0</v>
      </c>
      <c r="DG166" s="399">
        <v>1.5490853461797691</v>
      </c>
      <c r="DH166" s="399">
        <v>0</v>
      </c>
      <c r="DI166" s="399">
        <v>0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0</v>
      </c>
      <c r="DP166" s="399">
        <v>-0.23023771491219658</v>
      </c>
      <c r="DQ166" s="399">
        <v>0</v>
      </c>
      <c r="DR166" s="399">
        <v>0</v>
      </c>
      <c r="DS166" s="399"/>
      <c r="DT166" s="399"/>
      <c r="DU166" s="399"/>
      <c r="DV166" s="399">
        <v>292.12205512575963</v>
      </c>
      <c r="DW166" s="399">
        <v>0</v>
      </c>
      <c r="DX166" s="399">
        <v>0</v>
      </c>
      <c r="DY166" s="399">
        <v>-188.78262000000001</v>
      </c>
      <c r="DZ166" s="399">
        <v>13.02030000000002</v>
      </c>
      <c r="EA166" s="399">
        <v>0</v>
      </c>
      <c r="EB166" s="399">
        <v>0</v>
      </c>
      <c r="EC166" s="399">
        <v>-178.21387449968523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227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956</v>
      </c>
      <c r="C167" s="399" t="s">
        <v>2328</v>
      </c>
      <c r="D167" s="399" t="s">
        <v>1823</v>
      </c>
      <c r="E167" s="399" t="s">
        <v>889</v>
      </c>
      <c r="F167" s="399" t="s">
        <v>2333</v>
      </c>
      <c r="G167" s="399" t="s">
        <v>1239</v>
      </c>
      <c r="H167" s="399" t="s">
        <v>1239</v>
      </c>
      <c r="I167" s="399" t="s">
        <v>1239</v>
      </c>
      <c r="J167" s="399" t="s">
        <v>2329</v>
      </c>
      <c r="K167" s="789">
        <v>44743</v>
      </c>
      <c r="L167" s="399">
        <v>0</v>
      </c>
      <c r="M167" s="399">
        <v>0</v>
      </c>
      <c r="N167" s="399">
        <v>0.38900000000000001</v>
      </c>
      <c r="O167" s="399">
        <v>0.38900000000000001</v>
      </c>
      <c r="P167" s="399">
        <v>0.38900000000000001</v>
      </c>
      <c r="Q167" s="399">
        <v>0.38900000000000001</v>
      </c>
      <c r="R167" s="399"/>
      <c r="S167" s="399">
        <v>355.1</v>
      </c>
      <c r="T167" s="399">
        <v>205.96</v>
      </c>
      <c r="U167" s="399"/>
      <c r="V167" s="399">
        <v>218.25234</v>
      </c>
      <c r="W167" s="399">
        <v>218.25234</v>
      </c>
      <c r="X167" s="399">
        <v>159.96458000000001</v>
      </c>
      <c r="Y167" s="399">
        <v>0</v>
      </c>
      <c r="Z167" s="399">
        <v>0</v>
      </c>
      <c r="AA167" s="399">
        <v>0</v>
      </c>
      <c r="AB167" s="399">
        <v>0</v>
      </c>
      <c r="AC167" s="399">
        <v>0</v>
      </c>
      <c r="AD167" s="399">
        <v>31.533225275639623</v>
      </c>
      <c r="AE167" s="399">
        <v>96.875941554919436</v>
      </c>
      <c r="AF167" s="399">
        <v>78.164021013368469</v>
      </c>
      <c r="AG167" s="399">
        <v>1.9560285410700906</v>
      </c>
      <c r="AH167" s="399">
        <v>0</v>
      </c>
      <c r="AI167" s="399">
        <v>0</v>
      </c>
      <c r="AJ167" s="399">
        <v>0</v>
      </c>
      <c r="AK167" s="399">
        <v>0</v>
      </c>
      <c r="AL167" s="399">
        <v>0</v>
      </c>
      <c r="AM167" s="399"/>
      <c r="AN167" s="399">
        <v>0.42087977952053907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9.3019492708930578</v>
      </c>
      <c r="BH167" s="399">
        <v>0</v>
      </c>
      <c r="BI167" s="399">
        <v>1.1000000000000001</v>
      </c>
      <c r="BJ167" s="399">
        <v>4.9000000000000004</v>
      </c>
      <c r="BK167" s="399">
        <v>34.01</v>
      </c>
      <c r="BL167" s="399">
        <v>4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87.46597028426153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160.37580000000003</v>
      </c>
      <c r="CJ167" s="399">
        <v>-57.90653999999995</v>
      </c>
      <c r="CK167" s="399"/>
      <c r="CL167" s="399"/>
      <c r="CM167" s="399"/>
      <c r="CN167" s="399"/>
      <c r="CO167" s="399">
        <v>-62.605660000000015</v>
      </c>
      <c r="CP167" s="399">
        <v>4.3178999999999981</v>
      </c>
      <c r="CQ167" s="399">
        <v>31</v>
      </c>
      <c r="CR167" s="399">
        <v>0.81464337012954502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-3.9395032869216351</v>
      </c>
      <c r="DA167" s="399">
        <v>0</v>
      </c>
      <c r="DB167" s="399">
        <v>0</v>
      </c>
      <c r="DC167" s="399">
        <v>4.3167794545251041</v>
      </c>
      <c r="DD167" s="399">
        <v>0</v>
      </c>
      <c r="DE167" s="399">
        <v>0</v>
      </c>
      <c r="DF167" s="399">
        <v>0</v>
      </c>
      <c r="DG167" s="399">
        <v>0.5137205453230429</v>
      </c>
      <c r="DH167" s="399">
        <v>0</v>
      </c>
      <c r="DI167" s="399">
        <v>0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0</v>
      </c>
      <c r="DP167" s="399">
        <v>-7.6353342796968926E-2</v>
      </c>
      <c r="DQ167" s="399">
        <v>0</v>
      </c>
      <c r="DR167" s="399">
        <v>0</v>
      </c>
      <c r="DS167" s="399"/>
      <c r="DT167" s="399"/>
      <c r="DU167" s="399"/>
      <c r="DV167" s="399">
        <v>96.875941554919436</v>
      </c>
      <c r="DW167" s="399">
        <v>0</v>
      </c>
      <c r="DX167" s="399">
        <v>0</v>
      </c>
      <c r="DY167" s="399">
        <v>-62.605660000000015</v>
      </c>
      <c r="DZ167" s="399">
        <v>4.3178999999999945</v>
      </c>
      <c r="EA167" s="399">
        <v>0</v>
      </c>
      <c r="EB167" s="399">
        <v>0</v>
      </c>
      <c r="EC167" s="399">
        <v>-59.100764859656906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227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956</v>
      </c>
      <c r="C168" s="399" t="s">
        <v>2328</v>
      </c>
      <c r="D168" s="399" t="s">
        <v>1826</v>
      </c>
      <c r="E168" s="399" t="s">
        <v>890</v>
      </c>
      <c r="F168" s="399" t="s">
        <v>1239</v>
      </c>
      <c r="G168" s="399" t="s">
        <v>1239</v>
      </c>
      <c r="H168" s="399" t="s">
        <v>1239</v>
      </c>
      <c r="I168" s="399" t="s">
        <v>1239</v>
      </c>
      <c r="J168" s="399" t="s">
        <v>2329</v>
      </c>
      <c r="K168" s="789">
        <v>44743</v>
      </c>
      <c r="L168" s="399">
        <v>0</v>
      </c>
      <c r="M168" s="399">
        <v>0</v>
      </c>
      <c r="N168" s="399">
        <v>67.528000000000006</v>
      </c>
      <c r="O168" s="399">
        <v>67.528000000000006</v>
      </c>
      <c r="P168" s="399">
        <v>67.528000000000006</v>
      </c>
      <c r="Q168" s="399">
        <v>67.528000000000006</v>
      </c>
      <c r="R168" s="399"/>
      <c r="S168" s="399">
        <v>425.49</v>
      </c>
      <c r="T168" s="399">
        <v>205.96</v>
      </c>
      <c r="U168" s="399"/>
      <c r="V168" s="399">
        <v>42640.555600000007</v>
      </c>
      <c r="W168" s="399">
        <v>42640.555600000007</v>
      </c>
      <c r="X168" s="399">
        <v>31912.382240000003</v>
      </c>
      <c r="Y168" s="399">
        <v>0</v>
      </c>
      <c r="Z168" s="399">
        <v>4117.4592777404068</v>
      </c>
      <c r="AA168" s="399">
        <v>0</v>
      </c>
      <c r="AB168" s="399">
        <v>0</v>
      </c>
      <c r="AC168" s="399">
        <v>0</v>
      </c>
      <c r="AD168" s="399">
        <v>5473.9733583891839</v>
      </c>
      <c r="AE168" s="399">
        <v>16817.065761749614</v>
      </c>
      <c r="AF168" s="399">
        <v>13568.791802032767</v>
      </c>
      <c r="AG168" s="399">
        <v>339.55448668735499</v>
      </c>
      <c r="AH168" s="399">
        <v>0</v>
      </c>
      <c r="AI168" s="399">
        <v>0</v>
      </c>
      <c r="AJ168" s="399">
        <v>0</v>
      </c>
      <c r="AK168" s="399">
        <v>0</v>
      </c>
      <c r="AL168" s="399">
        <v>636.3278764599587</v>
      </c>
      <c r="AM168" s="399"/>
      <c r="AN168" s="399">
        <v>73.062133037179862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1614.7610035086541</v>
      </c>
      <c r="BH168" s="399">
        <v>0</v>
      </c>
      <c r="BI168" s="399">
        <v>166.31</v>
      </c>
      <c r="BJ168" s="399">
        <v>768.23</v>
      </c>
      <c r="BK168" s="399">
        <v>6727.71</v>
      </c>
      <c r="BL168" s="399">
        <v>40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15183.552805541422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31913.327400000002</v>
      </c>
      <c r="CJ168" s="399">
        <v>-10727.258200000004</v>
      </c>
      <c r="CK168" s="399"/>
      <c r="CL168" s="399"/>
      <c r="CM168" s="399"/>
      <c r="CN168" s="399"/>
      <c r="CO168" s="399">
        <v>-11477.734160000002</v>
      </c>
      <c r="CP168" s="399">
        <v>749.56079999999963</v>
      </c>
      <c r="CQ168" s="399">
        <v>31</v>
      </c>
      <c r="CR168" s="399">
        <v>-469.20048541300275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-683.87346519085895</v>
      </c>
      <c r="DA168" s="399">
        <v>0</v>
      </c>
      <c r="DB168" s="399">
        <v>0</v>
      </c>
      <c r="DC168" s="399">
        <v>749.3662802189483</v>
      </c>
      <c r="DD168" s="399">
        <v>0</v>
      </c>
      <c r="DE168" s="399">
        <v>0</v>
      </c>
      <c r="DF168" s="399">
        <v>0</v>
      </c>
      <c r="DG168" s="399">
        <v>89.178717183996014</v>
      </c>
      <c r="DH168" s="399">
        <v>0</v>
      </c>
      <c r="DI168" s="399">
        <v>-539.57246541214727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-71.045082977998732</v>
      </c>
      <c r="DP168" s="399">
        <v>-13.25446923494529</v>
      </c>
      <c r="DQ168" s="399">
        <v>0</v>
      </c>
      <c r="DR168" s="399">
        <v>0</v>
      </c>
      <c r="DS168" s="399"/>
      <c r="DT168" s="399"/>
      <c r="DU168" s="399"/>
      <c r="DV168" s="399">
        <v>16817.065761749614</v>
      </c>
      <c r="DW168" s="399">
        <v>0</v>
      </c>
      <c r="DX168" s="399">
        <v>0</v>
      </c>
      <c r="DY168" s="399">
        <v>-11477.734160000004</v>
      </c>
      <c r="DZ168" s="399">
        <v>749.56079999999929</v>
      </c>
      <c r="EA168" s="399">
        <v>0</v>
      </c>
      <c r="EB168" s="399">
        <v>0</v>
      </c>
      <c r="EC168" s="399">
        <v>-10259.528147668154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227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2334</v>
      </c>
      <c r="D169" s="399" t="s">
        <v>533</v>
      </c>
      <c r="E169" s="399" t="s">
        <v>890</v>
      </c>
      <c r="F169" s="399" t="s">
        <v>1239</v>
      </c>
      <c r="G169" s="399" t="s">
        <v>1239</v>
      </c>
      <c r="H169" s="399" t="s">
        <v>1239</v>
      </c>
      <c r="I169" s="399" t="s">
        <v>893</v>
      </c>
      <c r="J169" s="399" t="s">
        <v>2329</v>
      </c>
      <c r="K169" s="789">
        <v>44743</v>
      </c>
      <c r="L169" s="399">
        <v>0</v>
      </c>
      <c r="M169" s="399">
        <v>0</v>
      </c>
      <c r="N169" s="399">
        <v>13.456</v>
      </c>
      <c r="O169" s="399">
        <v>13.456</v>
      </c>
      <c r="P169" s="399">
        <v>13.456</v>
      </c>
      <c r="Q169" s="399">
        <v>13.456</v>
      </c>
      <c r="R169" s="399"/>
      <c r="S169" s="399">
        <v>2109.83</v>
      </c>
      <c r="T169" s="399">
        <v>205.96</v>
      </c>
      <c r="U169" s="399"/>
      <c r="V169" s="399">
        <v>31161.270239999998</v>
      </c>
      <c r="W169" s="399">
        <v>31161.270239999998</v>
      </c>
      <c r="X169" s="399">
        <v>18388.431359999999</v>
      </c>
      <c r="Y169" s="399">
        <v>0</v>
      </c>
      <c r="Z169" s="399">
        <v>713.80675980199567</v>
      </c>
      <c r="AA169" s="399">
        <v>0</v>
      </c>
      <c r="AB169" s="399">
        <v>0</v>
      </c>
      <c r="AC169" s="399">
        <v>0</v>
      </c>
      <c r="AD169" s="399">
        <v>8051.7481800212327</v>
      </c>
      <c r="AE169" s="399">
        <v>19364.931853487727</v>
      </c>
      <c r="AF169" s="399">
        <v>2703.7919453878822</v>
      </c>
      <c r="AG169" s="399">
        <v>67.661491127607036</v>
      </c>
      <c r="AH169" s="399">
        <v>0</v>
      </c>
      <c r="AI169" s="399">
        <v>0</v>
      </c>
      <c r="AJ169" s="399">
        <v>0</v>
      </c>
      <c r="AK169" s="399">
        <v>0</v>
      </c>
      <c r="AL169" s="399">
        <v>126.79818602128309</v>
      </c>
      <c r="AM169" s="399"/>
      <c r="AN169" s="399">
        <v>8.3087123664914664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124.232894694189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2828.024840082071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18393.8976</v>
      </c>
      <c r="CJ169" s="399">
        <v>-12767.402639999993</v>
      </c>
      <c r="CK169" s="399"/>
      <c r="CL169" s="399"/>
      <c r="CM169" s="399"/>
      <c r="CN169" s="399"/>
      <c r="CO169" s="399">
        <v>-12922.200479999998</v>
      </c>
      <c r="CP169" s="399">
        <v>149.36159999999992</v>
      </c>
      <c r="CQ169" s="399">
        <v>31</v>
      </c>
      <c r="CR169" s="399">
        <v>-958.94065393868186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-1005.9195703385103</v>
      </c>
      <c r="DA169" s="399">
        <v>0</v>
      </c>
      <c r="DB169" s="399">
        <v>0</v>
      </c>
      <c r="DC169" s="399">
        <v>149.32283892053874</v>
      </c>
      <c r="DD169" s="399">
        <v>0</v>
      </c>
      <c r="DE169" s="399">
        <v>0</v>
      </c>
      <c r="DF169" s="399">
        <v>0</v>
      </c>
      <c r="DG169" s="399">
        <v>6.8610340210152998</v>
      </c>
      <c r="DH169" s="399">
        <v>0</v>
      </c>
      <c r="DI169" s="399">
        <v>-93.540809327829493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-14.156833262527428</v>
      </c>
      <c r="DP169" s="399">
        <v>-1.5073139513683387</v>
      </c>
      <c r="DQ169" s="399">
        <v>0</v>
      </c>
      <c r="DR169" s="399">
        <v>0</v>
      </c>
      <c r="DS169" s="399"/>
      <c r="DT169" s="399"/>
      <c r="DU169" s="399"/>
      <c r="DV169" s="399">
        <v>19364.931853487727</v>
      </c>
      <c r="DW169" s="399">
        <v>0</v>
      </c>
      <c r="DX169" s="399">
        <v>0</v>
      </c>
      <c r="DY169" s="399">
        <v>-12922.20048</v>
      </c>
      <c r="DZ169" s="399">
        <v>149.36160000000018</v>
      </c>
      <c r="EA169" s="399">
        <v>0</v>
      </c>
      <c r="EB169" s="399">
        <v>0</v>
      </c>
      <c r="EC169" s="399">
        <v>-11813.895850988389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227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956</v>
      </c>
      <c r="C170" s="399" t="s">
        <v>2334</v>
      </c>
      <c r="D170" s="399" t="s">
        <v>533</v>
      </c>
      <c r="E170" s="399" t="s">
        <v>890</v>
      </c>
      <c r="F170" s="399" t="s">
        <v>1239</v>
      </c>
      <c r="G170" s="399" t="s">
        <v>1239</v>
      </c>
      <c r="H170" s="399" t="s">
        <v>1239</v>
      </c>
      <c r="I170" s="399" t="s">
        <v>2326</v>
      </c>
      <c r="J170" s="399" t="s">
        <v>2329</v>
      </c>
      <c r="K170" s="789">
        <v>44743</v>
      </c>
      <c r="L170" s="399">
        <v>0</v>
      </c>
      <c r="M170" s="399">
        <v>0</v>
      </c>
      <c r="N170" s="399">
        <v>372.61500000000001</v>
      </c>
      <c r="O170" s="399">
        <v>372.61500000000001</v>
      </c>
      <c r="P170" s="399">
        <v>372.61500000000001</v>
      </c>
      <c r="Q170" s="399">
        <v>372.61500000000001</v>
      </c>
      <c r="R170" s="399"/>
      <c r="S170" s="399">
        <v>72.319999999999993</v>
      </c>
      <c r="T170" s="399">
        <v>205.96</v>
      </c>
      <c r="U170" s="399"/>
      <c r="V170" s="399">
        <v>103691.30220000001</v>
      </c>
      <c r="W170" s="399">
        <v>103691.30220000001</v>
      </c>
      <c r="X170" s="399">
        <v>104991.72855</v>
      </c>
      <c r="Y170" s="399">
        <v>0</v>
      </c>
      <c r="Z170" s="399">
        <v>19766.283130471213</v>
      </c>
      <c r="AA170" s="399">
        <v>0</v>
      </c>
      <c r="AB170" s="399">
        <v>0</v>
      </c>
      <c r="AC170" s="399">
        <v>0</v>
      </c>
      <c r="AD170" s="399">
        <v>0</v>
      </c>
      <c r="AE170" s="399">
        <v>0</v>
      </c>
      <c r="AF170" s="399">
        <v>74871.688148833666</v>
      </c>
      <c r="AG170" s="399">
        <v>1873.6390098478967</v>
      </c>
      <c r="AH170" s="399">
        <v>0</v>
      </c>
      <c r="AI170" s="399">
        <v>0</v>
      </c>
      <c r="AJ170" s="399">
        <v>0</v>
      </c>
      <c r="AK170" s="399">
        <v>0</v>
      </c>
      <c r="AL170" s="399">
        <v>3511.2147803448574</v>
      </c>
      <c r="AM170" s="399"/>
      <c r="AN170" s="399">
        <v>230.07958222653224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3440.1783632933439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78311.866512127017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104993.13740000001</v>
      </c>
      <c r="CJ170" s="399">
        <v>1301.8052000000171</v>
      </c>
      <c r="CK170" s="399"/>
      <c r="CL170" s="399"/>
      <c r="CM170" s="399"/>
      <c r="CN170" s="399"/>
      <c r="CO170" s="399">
        <v>-2835.6001499999998</v>
      </c>
      <c r="CP170" s="399">
        <v>4136.0264999999981</v>
      </c>
      <c r="CQ170" s="399">
        <v>31</v>
      </c>
      <c r="CR170" s="399">
        <v>1300.9102953568508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4134.9531528222724</v>
      </c>
      <c r="DD170" s="399">
        <v>0</v>
      </c>
      <c r="DE170" s="399">
        <v>0</v>
      </c>
      <c r="DF170" s="399">
        <v>0</v>
      </c>
      <c r="DG170" s="399">
        <v>189.99139355979605</v>
      </c>
      <c r="DH170" s="399">
        <v>0</v>
      </c>
      <c r="DI170" s="399">
        <v>-2590.2726417723825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-392.02202928928818</v>
      </c>
      <c r="DP170" s="399">
        <v>-41.739579963519134</v>
      </c>
      <c r="DQ170" s="399">
        <v>0</v>
      </c>
      <c r="DR170" s="399">
        <v>0</v>
      </c>
      <c r="DS170" s="399"/>
      <c r="DT170" s="399"/>
      <c r="DU170" s="399"/>
      <c r="DV170" s="399">
        <v>0</v>
      </c>
      <c r="DW170" s="399">
        <v>0</v>
      </c>
      <c r="DX170" s="399">
        <v>0</v>
      </c>
      <c r="DY170" s="399">
        <v>-2835.6001499999984</v>
      </c>
      <c r="DZ170" s="399">
        <v>4136.0264999999927</v>
      </c>
      <c r="EA170" s="399">
        <v>0</v>
      </c>
      <c r="EB170" s="399">
        <v>0</v>
      </c>
      <c r="EC170" s="399">
        <v>0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227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2334</v>
      </c>
      <c r="D171" s="399" t="s">
        <v>533</v>
      </c>
      <c r="E171" s="399" t="s">
        <v>890</v>
      </c>
      <c r="F171" s="399" t="s">
        <v>1239</v>
      </c>
      <c r="G171" s="399" t="s">
        <v>1239</v>
      </c>
      <c r="H171" s="399" t="s">
        <v>1239</v>
      </c>
      <c r="I171" s="399" t="s">
        <v>1239</v>
      </c>
      <c r="J171" s="399" t="s">
        <v>2329</v>
      </c>
      <c r="K171" s="789">
        <v>44743</v>
      </c>
      <c r="L171" s="399">
        <v>2366</v>
      </c>
      <c r="M171" s="399">
        <v>2366</v>
      </c>
      <c r="N171" s="399">
        <v>0</v>
      </c>
      <c r="O171" s="399">
        <v>0</v>
      </c>
      <c r="P171" s="399">
        <v>0</v>
      </c>
      <c r="Q171" s="399">
        <v>0</v>
      </c>
      <c r="R171" s="399">
        <v>26.79</v>
      </c>
      <c r="S171" s="399"/>
      <c r="T171" s="399"/>
      <c r="U171" s="399">
        <v>63385.14</v>
      </c>
      <c r="V171" s="399"/>
      <c r="W171" s="399">
        <v>63385.14</v>
      </c>
      <c r="X171" s="399">
        <v>36270.78</v>
      </c>
      <c r="Y171" s="399">
        <v>0</v>
      </c>
      <c r="Z171" s="399">
        <v>0</v>
      </c>
      <c r="AA171" s="399">
        <v>0</v>
      </c>
      <c r="AB171" s="399">
        <v>0</v>
      </c>
      <c r="AC171" s="399">
        <v>0</v>
      </c>
      <c r="AD171" s="399">
        <v>23831.731452836579</v>
      </c>
      <c r="AE171" s="399">
        <v>39561.502272439036</v>
      </c>
      <c r="AF171" s="399"/>
      <c r="AG171" s="399"/>
      <c r="AH171" s="399"/>
      <c r="AI171" s="399">
        <v>0</v>
      </c>
      <c r="AJ171" s="399">
        <v>0</v>
      </c>
      <c r="AK171" s="399">
        <v>0</v>
      </c>
      <c r="AL171" s="399">
        <v>0</v>
      </c>
      <c r="AM171" s="399"/>
      <c r="AN171" s="399">
        <v>0</v>
      </c>
      <c r="AO171" s="399">
        <v>0</v>
      </c>
      <c r="AP171" s="399">
        <v>0</v>
      </c>
      <c r="AQ171" s="399">
        <v>0</v>
      </c>
      <c r="AR171" s="399">
        <v>0</v>
      </c>
      <c r="AS171" s="399"/>
      <c r="AT171" s="399"/>
      <c r="AU171" s="399">
        <v>0</v>
      </c>
      <c r="AV171" s="399">
        <v>0</v>
      </c>
      <c r="AW171" s="399">
        <v>0</v>
      </c>
      <c r="AX171" s="399"/>
      <c r="AY171" s="399"/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/>
      <c r="BG171" s="399">
        <v>0</v>
      </c>
      <c r="BH171" s="399">
        <v>0</v>
      </c>
      <c r="BI171" s="399">
        <v>671.56</v>
      </c>
      <c r="BJ171" s="399">
        <v>3105.37</v>
      </c>
      <c r="BK171" s="399">
        <v>33574.53</v>
      </c>
      <c r="BL171" s="399">
        <v>12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0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36270.78</v>
      </c>
      <c r="CJ171" s="399">
        <v>-27114.390000000007</v>
      </c>
      <c r="CK171" s="399"/>
      <c r="CL171" s="399"/>
      <c r="CM171" s="399"/>
      <c r="CN171" s="399"/>
      <c r="CO171" s="399">
        <v>-27114.359999999997</v>
      </c>
      <c r="CP171" s="399">
        <v>0</v>
      </c>
      <c r="CQ171" s="399">
        <v>31</v>
      </c>
      <c r="CR171" s="399">
        <v>-2977.3416315905633</v>
      </c>
      <c r="CS171" s="399">
        <v>0</v>
      </c>
      <c r="CT171" s="399">
        <v>0</v>
      </c>
      <c r="CU171" s="399">
        <v>0</v>
      </c>
      <c r="CV171" s="399">
        <v>0</v>
      </c>
      <c r="CW171" s="399"/>
      <c r="CX171" s="399"/>
      <c r="CY171" s="399"/>
      <c r="CZ171" s="399">
        <v>-2977.3416315905633</v>
      </c>
      <c r="DA171" s="399">
        <v>0</v>
      </c>
      <c r="DB171" s="399">
        <v>0</v>
      </c>
      <c r="DC171" s="399"/>
      <c r="DD171" s="399"/>
      <c r="DE171" s="399">
        <v>0</v>
      </c>
      <c r="DF171" s="399">
        <v>0</v>
      </c>
      <c r="DG171" s="399">
        <v>0</v>
      </c>
      <c r="DH171" s="399">
        <v>0</v>
      </c>
      <c r="DI171" s="399">
        <v>0</v>
      </c>
      <c r="DJ171" s="399"/>
      <c r="DK171" s="399">
        <v>0</v>
      </c>
      <c r="DL171" s="399">
        <v>0</v>
      </c>
      <c r="DM171" s="399"/>
      <c r="DN171" s="399">
        <v>0</v>
      </c>
      <c r="DO171" s="399">
        <v>0</v>
      </c>
      <c r="DP171" s="399">
        <v>0</v>
      </c>
      <c r="DQ171" s="399">
        <v>0</v>
      </c>
      <c r="DR171" s="399">
        <v>0</v>
      </c>
      <c r="DS171" s="399"/>
      <c r="DT171" s="399"/>
      <c r="DU171" s="399">
        <v>39561.502272439036</v>
      </c>
      <c r="DV171" s="399"/>
      <c r="DW171" s="399">
        <v>0</v>
      </c>
      <c r="DX171" s="399">
        <v>0</v>
      </c>
      <c r="DY171" s="399">
        <v>-27114.36</v>
      </c>
      <c r="DZ171" s="399"/>
      <c r="EA171" s="399">
        <v>0</v>
      </c>
      <c r="EB171" s="399"/>
      <c r="EC171" s="399">
        <v>-24135.14651594602</v>
      </c>
      <c r="ED171" s="399"/>
      <c r="EE171" s="399">
        <v>0</v>
      </c>
      <c r="EF171" s="399">
        <v>0</v>
      </c>
      <c r="EG171" s="399"/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/>
      <c r="EN171" s="399"/>
      <c r="EO171" s="399">
        <v>0</v>
      </c>
      <c r="EP171" s="399">
        <v>0</v>
      </c>
      <c r="EQ171" s="399"/>
      <c r="ER171" s="399">
        <v>0</v>
      </c>
      <c r="ES171" s="399"/>
      <c r="ET171" s="399">
        <v>0</v>
      </c>
      <c r="EU171" s="399"/>
      <c r="EV171" s="399">
        <v>227</v>
      </c>
      <c r="EW171" s="399"/>
      <c r="EX171" s="399"/>
      <c r="EY171" s="399"/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956</v>
      </c>
      <c r="C172" s="399" t="s">
        <v>2328</v>
      </c>
      <c r="D172" s="399" t="s">
        <v>1826</v>
      </c>
      <c r="E172" s="399" t="s">
        <v>918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2329</v>
      </c>
      <c r="K172" s="789">
        <v>44743</v>
      </c>
      <c r="L172" s="399">
        <v>0</v>
      </c>
      <c r="M172" s="399">
        <v>0</v>
      </c>
      <c r="N172" s="399">
        <v>13.488</v>
      </c>
      <c r="O172" s="399">
        <v>13.488</v>
      </c>
      <c r="P172" s="399">
        <v>13.488</v>
      </c>
      <c r="Q172" s="399">
        <v>13.488</v>
      </c>
      <c r="R172" s="399"/>
      <c r="S172" s="399">
        <v>425.49</v>
      </c>
      <c r="T172" s="399">
        <v>205.96</v>
      </c>
      <c r="U172" s="399"/>
      <c r="V172" s="399">
        <v>8516.9975999999988</v>
      </c>
      <c r="W172" s="399">
        <v>8516.9975999999988</v>
      </c>
      <c r="X172" s="399">
        <v>6374.1590400000005</v>
      </c>
      <c r="Y172" s="399">
        <v>0</v>
      </c>
      <c r="Z172" s="399">
        <v>822.4187113221567</v>
      </c>
      <c r="AA172" s="399">
        <v>0</v>
      </c>
      <c r="AB172" s="399">
        <v>0</v>
      </c>
      <c r="AC172" s="399">
        <v>0</v>
      </c>
      <c r="AD172" s="399">
        <v>1093.3679756242345</v>
      </c>
      <c r="AE172" s="399">
        <v>3359.0300763309856</v>
      </c>
      <c r="AF172" s="399">
        <v>2710.2218905612181</v>
      </c>
      <c r="AG172" s="399">
        <v>67.822398359777324</v>
      </c>
      <c r="AH172" s="399">
        <v>0</v>
      </c>
      <c r="AI172" s="399">
        <v>0</v>
      </c>
      <c r="AJ172" s="399">
        <v>0</v>
      </c>
      <c r="AK172" s="399">
        <v>0</v>
      </c>
      <c r="AL172" s="399">
        <v>127.09972748625641</v>
      </c>
      <c r="AM172" s="399"/>
      <c r="AN172" s="399">
        <v>14.593384231807276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322.53134130027132</v>
      </c>
      <c r="BH172" s="399">
        <v>0</v>
      </c>
      <c r="BI172" s="399">
        <v>41.49</v>
      </c>
      <c r="BJ172" s="399">
        <v>191</v>
      </c>
      <c r="BK172" s="399">
        <v>1346.32</v>
      </c>
      <c r="BL172" s="399">
        <v>53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3032.7532318614894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6375.1041999999998</v>
      </c>
      <c r="CJ172" s="399">
        <v>-2141.9233999999997</v>
      </c>
      <c r="CK172" s="399"/>
      <c r="CL172" s="399"/>
      <c r="CM172" s="399"/>
      <c r="CN172" s="399"/>
      <c r="CO172" s="399">
        <v>-2292.5553599999998</v>
      </c>
      <c r="CP172" s="399">
        <v>149.71679999999992</v>
      </c>
      <c r="CQ172" s="399">
        <v>31</v>
      </c>
      <c r="CR172" s="399">
        <v>-93.717808127748867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-136.59645330076876</v>
      </c>
      <c r="DA172" s="399">
        <v>0</v>
      </c>
      <c r="DB172" s="399">
        <v>0</v>
      </c>
      <c r="DC172" s="399">
        <v>149.67794674199104</v>
      </c>
      <c r="DD172" s="399">
        <v>0</v>
      </c>
      <c r="DE172" s="399">
        <v>0</v>
      </c>
      <c r="DF172" s="399">
        <v>0</v>
      </c>
      <c r="DG172" s="399">
        <v>17.812500553514667</v>
      </c>
      <c r="DH172" s="399">
        <v>0</v>
      </c>
      <c r="DI172" s="399">
        <v>-107.77386289360027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-14.190499929025719</v>
      </c>
      <c r="DP172" s="399">
        <v>-2.6474392998599399</v>
      </c>
      <c r="DQ172" s="399">
        <v>0</v>
      </c>
      <c r="DR172" s="399">
        <v>0</v>
      </c>
      <c r="DS172" s="399"/>
      <c r="DT172" s="399"/>
      <c r="DU172" s="399"/>
      <c r="DV172" s="399">
        <v>3359.0300763309856</v>
      </c>
      <c r="DW172" s="399">
        <v>0</v>
      </c>
      <c r="DX172" s="399">
        <v>0</v>
      </c>
      <c r="DY172" s="399">
        <v>-2292.5553599999998</v>
      </c>
      <c r="DZ172" s="399">
        <v>149.71680000000015</v>
      </c>
      <c r="EA172" s="399">
        <v>0</v>
      </c>
      <c r="EB172" s="399">
        <v>0</v>
      </c>
      <c r="EC172" s="399">
        <v>-2049.2316617662018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227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956</v>
      </c>
      <c r="C173" s="399" t="s">
        <v>2328</v>
      </c>
      <c r="D173" s="399" t="s">
        <v>2335</v>
      </c>
      <c r="E173" s="399" t="s">
        <v>894</v>
      </c>
      <c r="F173" s="399" t="s">
        <v>1239</v>
      </c>
      <c r="G173" s="399" t="s">
        <v>1239</v>
      </c>
      <c r="H173" s="399" t="s">
        <v>1239</v>
      </c>
      <c r="I173" s="399" t="s">
        <v>1239</v>
      </c>
      <c r="J173" s="399" t="s">
        <v>2329</v>
      </c>
      <c r="K173" s="789">
        <v>44743</v>
      </c>
      <c r="L173" s="399">
        <v>0</v>
      </c>
      <c r="M173" s="399">
        <v>0</v>
      </c>
      <c r="N173" s="399">
        <v>62.713000000000001</v>
      </c>
      <c r="O173" s="399">
        <v>62.713000000000001</v>
      </c>
      <c r="P173" s="399">
        <v>62.713000000000001</v>
      </c>
      <c r="Q173" s="399">
        <v>62.713000000000001</v>
      </c>
      <c r="R173" s="399"/>
      <c r="S173" s="399">
        <v>425.49</v>
      </c>
      <c r="T173" s="399">
        <v>205.96</v>
      </c>
      <c r="U173" s="399"/>
      <c r="V173" s="399">
        <v>39600.123850000004</v>
      </c>
      <c r="W173" s="399">
        <v>39600.123850000004</v>
      </c>
      <c r="X173" s="399">
        <v>29636.909540000001</v>
      </c>
      <c r="Y173" s="399">
        <v>0</v>
      </c>
      <c r="Z173" s="399">
        <v>3823.8689682048057</v>
      </c>
      <c r="AA173" s="399">
        <v>0</v>
      </c>
      <c r="AB173" s="399">
        <v>0</v>
      </c>
      <c r="AC173" s="399">
        <v>0</v>
      </c>
      <c r="AD173" s="399">
        <v>5083.6585005428988</v>
      </c>
      <c r="AE173" s="399">
        <v>15617.945816796047</v>
      </c>
      <c r="AF173" s="399">
        <v>12601.285989232332</v>
      </c>
      <c r="AG173" s="399">
        <v>315.3429765967316</v>
      </c>
      <c r="AH173" s="399">
        <v>0</v>
      </c>
      <c r="AI173" s="399">
        <v>0</v>
      </c>
      <c r="AJ173" s="399">
        <v>0</v>
      </c>
      <c r="AK173" s="399">
        <v>0</v>
      </c>
      <c r="AL173" s="399">
        <v>590.95530915225379</v>
      </c>
      <c r="AM173" s="399"/>
      <c r="AN173" s="399">
        <v>67.852528568307363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1499.6224797571113</v>
      </c>
      <c r="BH173" s="399">
        <v>0</v>
      </c>
      <c r="BI173" s="399">
        <v>103.08</v>
      </c>
      <c r="BJ173" s="399">
        <v>476.44</v>
      </c>
      <c r="BK173" s="399">
        <v>3782.45</v>
      </c>
      <c r="BL173" s="399">
        <v>240</v>
      </c>
      <c r="BM173" s="399"/>
      <c r="BN173" s="399"/>
      <c r="BO173" s="399"/>
      <c r="BP173" s="399"/>
      <c r="BQ173" s="399"/>
      <c r="BR173" s="399">
        <v>3557.081360000002</v>
      </c>
      <c r="BS173" s="399"/>
      <c r="BT173" s="399"/>
      <c r="BU173" s="399"/>
      <c r="BV173" s="399">
        <v>14100.908468989444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26078.580600000001</v>
      </c>
      <c r="CJ173" s="399">
        <v>-8769.809239999995</v>
      </c>
      <c r="CK173" s="399"/>
      <c r="CL173" s="399"/>
      <c r="CM173" s="399"/>
      <c r="CN173" s="399"/>
      <c r="CO173" s="399">
        <v>-10659.32861</v>
      </c>
      <c r="CP173" s="399">
        <v>696.11429999999962</v>
      </c>
      <c r="CQ173" s="399">
        <v>31</v>
      </c>
      <c r="CR173" s="399">
        <v>-435.74472873039122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-635.110718850171</v>
      </c>
      <c r="DA173" s="399">
        <v>0</v>
      </c>
      <c r="DB173" s="399">
        <v>0</v>
      </c>
      <c r="DC173" s="399">
        <v>695.93365020985038</v>
      </c>
      <c r="DD173" s="399">
        <v>0</v>
      </c>
      <c r="DE173" s="399">
        <v>0</v>
      </c>
      <c r="DF173" s="399">
        <v>0</v>
      </c>
      <c r="DG173" s="399">
        <v>82.819939739958954</v>
      </c>
      <c r="DH173" s="399">
        <v>0</v>
      </c>
      <c r="DI173" s="399">
        <v>-501.0989222750859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-65.979301753335562</v>
      </c>
      <c r="DP173" s="399">
        <v>-12.309375801610045</v>
      </c>
      <c r="DQ173" s="399">
        <v>0</v>
      </c>
      <c r="DR173" s="399">
        <v>0</v>
      </c>
      <c r="DS173" s="399"/>
      <c r="DT173" s="399"/>
      <c r="DU173" s="399"/>
      <c r="DV173" s="399">
        <v>15617.945816796047</v>
      </c>
      <c r="DW173" s="399">
        <v>0</v>
      </c>
      <c r="DX173" s="399">
        <v>0</v>
      </c>
      <c r="DY173" s="399">
        <v>-10659.328610000002</v>
      </c>
      <c r="DZ173" s="399">
        <v>696.11429999999928</v>
      </c>
      <c r="EA173" s="399">
        <v>0</v>
      </c>
      <c r="EB173" s="399">
        <v>0</v>
      </c>
      <c r="EC173" s="399">
        <v>-9527.9852612947652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227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956</v>
      </c>
      <c r="C174" s="399" t="s">
        <v>2328</v>
      </c>
      <c r="D174" s="399" t="s">
        <v>1826</v>
      </c>
      <c r="E174" s="399" t="s">
        <v>2336</v>
      </c>
      <c r="F174" s="399" t="s">
        <v>1239</v>
      </c>
      <c r="G174" s="399" t="s">
        <v>1239</v>
      </c>
      <c r="H174" s="399" t="s">
        <v>1239</v>
      </c>
      <c r="I174" s="399" t="s">
        <v>1239</v>
      </c>
      <c r="J174" s="399" t="s">
        <v>2329</v>
      </c>
      <c r="K174" s="789">
        <v>44743</v>
      </c>
      <c r="L174" s="399">
        <v>0</v>
      </c>
      <c r="M174" s="399">
        <v>0</v>
      </c>
      <c r="N174" s="399">
        <v>3.3439999999999999</v>
      </c>
      <c r="O174" s="399">
        <v>3.3439999999999999</v>
      </c>
      <c r="P174" s="399">
        <v>3.3439999999999999</v>
      </c>
      <c r="Q174" s="399">
        <v>3.3439999999999999</v>
      </c>
      <c r="R174" s="399"/>
      <c r="S174" s="399">
        <v>425.49</v>
      </c>
      <c r="T174" s="399">
        <v>205.96</v>
      </c>
      <c r="U174" s="399"/>
      <c r="V174" s="399">
        <v>2111.5688</v>
      </c>
      <c r="W174" s="399">
        <v>2111.5688</v>
      </c>
      <c r="X174" s="399">
        <v>1580.3075199999998</v>
      </c>
      <c r="Y174" s="399">
        <v>0</v>
      </c>
      <c r="Z174" s="399">
        <v>203.89740292565926</v>
      </c>
      <c r="AA174" s="399">
        <v>0</v>
      </c>
      <c r="AB174" s="399">
        <v>0</v>
      </c>
      <c r="AC174" s="399">
        <v>0</v>
      </c>
      <c r="AD174" s="399">
        <v>271.07225018441875</v>
      </c>
      <c r="AE174" s="399">
        <v>832.78444359807349</v>
      </c>
      <c r="AF174" s="399">
        <v>671.92927061363537</v>
      </c>
      <c r="AG174" s="399">
        <v>16.814805761795327</v>
      </c>
      <c r="AH174" s="399">
        <v>0</v>
      </c>
      <c r="AI174" s="399">
        <v>0</v>
      </c>
      <c r="AJ174" s="399">
        <v>0</v>
      </c>
      <c r="AK174" s="399">
        <v>0</v>
      </c>
      <c r="AL174" s="399">
        <v>31.511083089712443</v>
      </c>
      <c r="AM174" s="399"/>
      <c r="AN174" s="399">
        <v>3.6180513694516261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79.963286277291473</v>
      </c>
      <c r="BH174" s="399">
        <v>0</v>
      </c>
      <c r="BI174" s="399">
        <v>12.95</v>
      </c>
      <c r="BJ174" s="399">
        <v>59.7</v>
      </c>
      <c r="BK174" s="399">
        <v>338.57</v>
      </c>
      <c r="BL174" s="399">
        <v>13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751.89255689092681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1578.4171999999999</v>
      </c>
      <c r="CJ174" s="399">
        <v>-533.18160000000034</v>
      </c>
      <c r="CK174" s="399"/>
      <c r="CL174" s="399"/>
      <c r="CM174" s="399"/>
      <c r="CN174" s="399"/>
      <c r="CO174" s="399">
        <v>-568.37968000000001</v>
      </c>
      <c r="CP174" s="399">
        <v>37.11839999999998</v>
      </c>
      <c r="CQ174" s="399">
        <v>31</v>
      </c>
      <c r="CR174" s="399">
        <v>-23.234901421944869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-33.865550106596288</v>
      </c>
      <c r="DA174" s="399">
        <v>0</v>
      </c>
      <c r="DB174" s="399">
        <v>0</v>
      </c>
      <c r="DC174" s="399">
        <v>37.10876734172723</v>
      </c>
      <c r="DD174" s="399">
        <v>0</v>
      </c>
      <c r="DE174" s="399">
        <v>0</v>
      </c>
      <c r="DF174" s="399">
        <v>0</v>
      </c>
      <c r="DG174" s="399">
        <v>4.4161478240623495</v>
      </c>
      <c r="DH174" s="399">
        <v>0</v>
      </c>
      <c r="DI174" s="399">
        <v>-26.719735877535555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-3.5181666490704337</v>
      </c>
      <c r="DP174" s="399">
        <v>-0.65636395453229834</v>
      </c>
      <c r="DQ174" s="399">
        <v>0</v>
      </c>
      <c r="DR174" s="399">
        <v>0</v>
      </c>
      <c r="DS174" s="399"/>
      <c r="DT174" s="399"/>
      <c r="DU174" s="399"/>
      <c r="DV174" s="399">
        <v>832.78444359807349</v>
      </c>
      <c r="DW174" s="399">
        <v>0</v>
      </c>
      <c r="DX174" s="399">
        <v>0</v>
      </c>
      <c r="DY174" s="399">
        <v>-568.37967999999989</v>
      </c>
      <c r="DZ174" s="399">
        <v>37.118399999999951</v>
      </c>
      <c r="EA174" s="399">
        <v>0</v>
      </c>
      <c r="EB174" s="399">
        <v>0</v>
      </c>
      <c r="EC174" s="399">
        <v>-508.0538758115494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227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956</v>
      </c>
      <c r="C175" s="399" t="s">
        <v>2328</v>
      </c>
      <c r="D175" s="399" t="s">
        <v>2337</v>
      </c>
      <c r="E175" s="399" t="s">
        <v>2338</v>
      </c>
      <c r="F175" s="399" t="s">
        <v>2339</v>
      </c>
      <c r="G175" s="399" t="s">
        <v>1239</v>
      </c>
      <c r="H175" s="399" t="s">
        <v>1239</v>
      </c>
      <c r="I175" s="399" t="s">
        <v>1239</v>
      </c>
      <c r="J175" s="399" t="s">
        <v>2329</v>
      </c>
      <c r="K175" s="789">
        <v>44743</v>
      </c>
      <c r="L175" s="399">
        <v>0</v>
      </c>
      <c r="M175" s="399">
        <v>0</v>
      </c>
      <c r="N175" s="399">
        <v>19.381</v>
      </c>
      <c r="O175" s="399">
        <v>19.381</v>
      </c>
      <c r="P175" s="399">
        <v>19.381</v>
      </c>
      <c r="Q175" s="399">
        <v>19.381</v>
      </c>
      <c r="R175" s="399"/>
      <c r="S175" s="399">
        <v>234.02</v>
      </c>
      <c r="T175" s="399">
        <v>113.28</v>
      </c>
      <c r="U175" s="399"/>
      <c r="V175" s="399">
        <v>6731.0213000000003</v>
      </c>
      <c r="W175" s="399">
        <v>6731.0213000000003</v>
      </c>
      <c r="X175" s="399">
        <v>5037.3157099999999</v>
      </c>
      <c r="Y175" s="399">
        <v>0</v>
      </c>
      <c r="Z175" s="399">
        <v>649.95650758259853</v>
      </c>
      <c r="AA175" s="399">
        <v>0</v>
      </c>
      <c r="AB175" s="399">
        <v>0</v>
      </c>
      <c r="AC175" s="399">
        <v>0</v>
      </c>
      <c r="AD175" s="399">
        <v>864.08738171451034</v>
      </c>
      <c r="AE175" s="399">
        <v>2654.6373850944433</v>
      </c>
      <c r="AF175" s="399">
        <v>2141.8850647636227</v>
      </c>
      <c r="AG175" s="399">
        <v>53.599958958775481</v>
      </c>
      <c r="AH175" s="399">
        <v>0</v>
      </c>
      <c r="AI175" s="399">
        <v>0</v>
      </c>
      <c r="AJ175" s="399">
        <v>0</v>
      </c>
      <c r="AK175" s="399">
        <v>0</v>
      </c>
      <c r="AL175" s="399">
        <v>100.44676009238765</v>
      </c>
      <c r="AM175" s="399"/>
      <c r="AN175" s="399">
        <v>11.533133814365474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254.89612686516313</v>
      </c>
      <c r="BH175" s="399">
        <v>0</v>
      </c>
      <c r="BI175" s="399">
        <v>41.26</v>
      </c>
      <c r="BJ175" s="399">
        <v>190.44</v>
      </c>
      <c r="BK175" s="399">
        <v>1079.18</v>
      </c>
      <c r="BL175" s="399">
        <v>2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2396.781191628786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5037.0558000000001</v>
      </c>
      <c r="CJ175" s="399">
        <v>-1693.9955000000009</v>
      </c>
      <c r="CK175" s="399"/>
      <c r="CL175" s="399"/>
      <c r="CM175" s="399"/>
      <c r="CN175" s="399"/>
      <c r="CO175" s="399">
        <v>-1811.9296900000002</v>
      </c>
      <c r="CP175" s="399">
        <v>118.22409999999989</v>
      </c>
      <c r="CQ175" s="399">
        <v>31</v>
      </c>
      <c r="CR175" s="399">
        <v>-74.065069812272668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-107.95201095657001</v>
      </c>
      <c r="DA175" s="399">
        <v>0</v>
      </c>
      <c r="DB175" s="399">
        <v>0</v>
      </c>
      <c r="DC175" s="399">
        <v>118.29029931745345</v>
      </c>
      <c r="DD175" s="399">
        <v>0</v>
      </c>
      <c r="DE175" s="399">
        <v>0</v>
      </c>
      <c r="DF175" s="399">
        <v>0</v>
      </c>
      <c r="DG175" s="399">
        <v>14.077197529300747</v>
      </c>
      <c r="DH175" s="399">
        <v>0</v>
      </c>
      <c r="DI175" s="399">
        <v>-85.173552803044458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-11.214734839742533</v>
      </c>
      <c r="DP175" s="399">
        <v>-2.0922680596694949</v>
      </c>
      <c r="DQ175" s="399">
        <v>0</v>
      </c>
      <c r="DR175" s="399">
        <v>0</v>
      </c>
      <c r="DS175" s="399"/>
      <c r="DT175" s="399"/>
      <c r="DU175" s="399"/>
      <c r="DV175" s="399">
        <v>2654.6373850944433</v>
      </c>
      <c r="DW175" s="399">
        <v>0</v>
      </c>
      <c r="DX175" s="399">
        <v>0</v>
      </c>
      <c r="DY175" s="399">
        <v>-1811.9296899999999</v>
      </c>
      <c r="DZ175" s="399">
        <v>118.22409999999991</v>
      </c>
      <c r="EA175" s="399">
        <v>0</v>
      </c>
      <c r="EB175" s="399">
        <v>0</v>
      </c>
      <c r="EC175" s="399">
        <v>-1619.5052906420376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227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2328</v>
      </c>
      <c r="D176" s="399" t="s">
        <v>2335</v>
      </c>
      <c r="E176" s="399" t="s">
        <v>894</v>
      </c>
      <c r="F176" s="399" t="s">
        <v>2342</v>
      </c>
      <c r="G176" s="399" t="s">
        <v>2340</v>
      </c>
      <c r="H176" s="399" t="s">
        <v>1239</v>
      </c>
      <c r="I176" s="399" t="s">
        <v>1239</v>
      </c>
      <c r="J176" s="399" t="s">
        <v>2329</v>
      </c>
      <c r="K176" s="789">
        <v>44743</v>
      </c>
      <c r="L176" s="399">
        <v>0</v>
      </c>
      <c r="M176" s="399">
        <v>0</v>
      </c>
      <c r="N176" s="399">
        <v>0</v>
      </c>
      <c r="O176" s="399">
        <v>0</v>
      </c>
      <c r="P176" s="399">
        <v>0</v>
      </c>
      <c r="Q176" s="399">
        <v>0</v>
      </c>
      <c r="R176" s="399"/>
      <c r="S176" s="399"/>
      <c r="T176" s="399"/>
      <c r="U176" s="399"/>
      <c r="V176" s="399"/>
      <c r="W176" s="399"/>
      <c r="X176" s="399"/>
      <c r="Y176" s="399"/>
      <c r="Z176" s="399"/>
      <c r="AA176" s="399">
        <v>0</v>
      </c>
      <c r="AB176" s="399"/>
      <c r="AC176" s="399"/>
      <c r="AD176" s="399"/>
      <c r="AE176" s="399"/>
      <c r="AF176" s="399"/>
      <c r="AG176" s="399"/>
      <c r="AH176" s="399"/>
      <c r="AI176" s="399"/>
      <c r="AJ176" s="399"/>
      <c r="AK176" s="399"/>
      <c r="AL176" s="399"/>
      <c r="AM176" s="399"/>
      <c r="AN176" s="399"/>
      <c r="AO176" s="399"/>
      <c r="AP176" s="399"/>
      <c r="AQ176" s="399"/>
      <c r="AR176" s="399"/>
      <c r="AS176" s="399"/>
      <c r="AT176" s="399"/>
      <c r="AU176" s="399"/>
      <c r="AV176" s="399"/>
      <c r="AW176" s="399"/>
      <c r="AX176" s="399"/>
      <c r="AY176" s="399"/>
      <c r="AZ176" s="399">
        <v>0</v>
      </c>
      <c r="BA176" s="399"/>
      <c r="BB176" s="399"/>
      <c r="BC176" s="399"/>
      <c r="BD176" s="399"/>
      <c r="BE176" s="399"/>
      <c r="BF176" s="399"/>
      <c r="BG176" s="399"/>
      <c r="BH176" s="399"/>
      <c r="BI176" s="399">
        <v>0.34</v>
      </c>
      <c r="BJ176" s="399">
        <v>1.57</v>
      </c>
      <c r="BK176" s="399">
        <v>12.72</v>
      </c>
      <c r="BL176" s="399">
        <v>1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/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/>
      <c r="CJ176" s="399">
        <v>-0.03</v>
      </c>
      <c r="CK176" s="399"/>
      <c r="CL176" s="399"/>
      <c r="CM176" s="399"/>
      <c r="CN176" s="399"/>
      <c r="CO176" s="399">
        <v>0</v>
      </c>
      <c r="CP176" s="399">
        <v>0</v>
      </c>
      <c r="CQ176" s="399">
        <v>31</v>
      </c>
      <c r="CR176" s="399"/>
      <c r="CS176" s="399"/>
      <c r="CT176" s="399"/>
      <c r="CU176" s="399"/>
      <c r="CV176" s="399"/>
      <c r="CW176" s="399"/>
      <c r="CX176" s="399"/>
      <c r="CY176" s="399"/>
      <c r="CZ176" s="399"/>
      <c r="DA176" s="399"/>
      <c r="DB176" s="399"/>
      <c r="DC176" s="399"/>
      <c r="DD176" s="399"/>
      <c r="DE176" s="399"/>
      <c r="DF176" s="399"/>
      <c r="DG176" s="399"/>
      <c r="DH176" s="399"/>
      <c r="DI176" s="399"/>
      <c r="DJ176" s="399"/>
      <c r="DK176" s="399">
        <v>0</v>
      </c>
      <c r="DL176" s="399"/>
      <c r="DM176" s="399"/>
      <c r="DN176" s="399"/>
      <c r="DO176" s="399"/>
      <c r="DP176" s="399"/>
      <c r="DQ176" s="399"/>
      <c r="DR176" s="399"/>
      <c r="DS176" s="399"/>
      <c r="DT176" s="399"/>
      <c r="DU176" s="399"/>
      <c r="DV176" s="399"/>
      <c r="DW176" s="399"/>
      <c r="DX176" s="399"/>
      <c r="DY176" s="399"/>
      <c r="DZ176" s="399"/>
      <c r="EA176" s="399"/>
      <c r="EB176" s="399"/>
      <c r="EC176" s="399"/>
      <c r="ED176" s="399"/>
      <c r="EE176" s="399"/>
      <c r="EF176" s="399"/>
      <c r="EG176" s="399"/>
      <c r="EH176" s="399"/>
      <c r="EI176" s="399"/>
      <c r="EJ176" s="399"/>
      <c r="EK176" s="399"/>
      <c r="EL176" s="399"/>
      <c r="EM176" s="399"/>
      <c r="EN176" s="399"/>
      <c r="EO176" s="399"/>
      <c r="EP176" s="399"/>
      <c r="EQ176" s="399"/>
      <c r="ER176" s="399"/>
      <c r="ES176" s="399"/>
      <c r="ET176" s="399"/>
      <c r="EU176" s="399"/>
      <c r="EV176" s="399">
        <v>227</v>
      </c>
      <c r="EW176" s="399"/>
      <c r="EX176" s="399"/>
      <c r="EY176" s="399"/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956</v>
      </c>
      <c r="C177" s="399" t="s">
        <v>2328</v>
      </c>
      <c r="D177" s="399" t="s">
        <v>2335</v>
      </c>
      <c r="E177" s="399" t="s">
        <v>894</v>
      </c>
      <c r="F177" s="399" t="s">
        <v>2342</v>
      </c>
      <c r="G177" s="399" t="s">
        <v>2340</v>
      </c>
      <c r="H177" s="399" t="s">
        <v>1239</v>
      </c>
      <c r="I177" s="399" t="s">
        <v>1239</v>
      </c>
      <c r="J177" s="399" t="s">
        <v>2329</v>
      </c>
      <c r="K177" s="789">
        <v>44743</v>
      </c>
      <c r="L177" s="399">
        <v>0</v>
      </c>
      <c r="M177" s="399">
        <v>0</v>
      </c>
      <c r="N177" s="399">
        <v>0.17699999999999999</v>
      </c>
      <c r="O177" s="399">
        <v>0.17699999999999999</v>
      </c>
      <c r="P177" s="399">
        <v>0.17699999999999999</v>
      </c>
      <c r="Q177" s="399">
        <v>0.17699999999999999</v>
      </c>
      <c r="R177" s="399"/>
      <c r="S177" s="399">
        <v>425.49</v>
      </c>
      <c r="T177" s="399">
        <v>205.96</v>
      </c>
      <c r="U177" s="399"/>
      <c r="V177" s="399">
        <v>111.76665</v>
      </c>
      <c r="W177" s="399">
        <v>111.76665</v>
      </c>
      <c r="X177" s="399">
        <v>83.646659999999997</v>
      </c>
      <c r="Y177" s="399">
        <v>0</v>
      </c>
      <c r="Z177" s="399">
        <v>10.792416362990936</v>
      </c>
      <c r="AA177" s="399">
        <v>0</v>
      </c>
      <c r="AB177" s="399">
        <v>0</v>
      </c>
      <c r="AC177" s="399">
        <v>0</v>
      </c>
      <c r="AD177" s="399">
        <v>14.348022811794893</v>
      </c>
      <c r="AE177" s="399">
        <v>44.079798599539174</v>
      </c>
      <c r="AF177" s="399">
        <v>35.565634240015989</v>
      </c>
      <c r="AG177" s="399">
        <v>0.89001812794191781</v>
      </c>
      <c r="AH177" s="399">
        <v>0</v>
      </c>
      <c r="AI177" s="399">
        <v>0</v>
      </c>
      <c r="AJ177" s="399">
        <v>0</v>
      </c>
      <c r="AK177" s="399">
        <v>0</v>
      </c>
      <c r="AL177" s="399">
        <v>1.6679012281337029</v>
      </c>
      <c r="AM177" s="399"/>
      <c r="AN177" s="399">
        <v>0.19150570944764886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4.2325064805863013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>
        <v>10.039440000000004</v>
      </c>
      <c r="BS177" s="399"/>
      <c r="BT177" s="399"/>
      <c r="BU177" s="399"/>
      <c r="BV177" s="399">
        <v>39.798140720602291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74.854799999999997</v>
      </c>
      <c r="CJ177" s="399">
        <v>-23.530560000000008</v>
      </c>
      <c r="CK177" s="399"/>
      <c r="CL177" s="399"/>
      <c r="CM177" s="399"/>
      <c r="CN177" s="399"/>
      <c r="CO177" s="399">
        <v>-30.084689999999998</v>
      </c>
      <c r="CP177" s="399">
        <v>1.9646999999999988</v>
      </c>
      <c r="CQ177" s="399">
        <v>31</v>
      </c>
      <c r="CR177" s="399">
        <v>-1.2298377845945652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-1.792524631838381</v>
      </c>
      <c r="DA177" s="399">
        <v>0</v>
      </c>
      <c r="DB177" s="399">
        <v>0</v>
      </c>
      <c r="DC177" s="399">
        <v>1.964190137406014</v>
      </c>
      <c r="DD177" s="399">
        <v>0</v>
      </c>
      <c r="DE177" s="399">
        <v>0</v>
      </c>
      <c r="DF177" s="399">
        <v>0</v>
      </c>
      <c r="DG177" s="399">
        <v>0.23374945121382673</v>
      </c>
      <c r="DH177" s="399">
        <v>0</v>
      </c>
      <c r="DI177" s="399">
        <v>-1.4142922399293631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-0.18621874906862046</v>
      </c>
      <c r="DP177" s="399">
        <v>-3.4741752378055241E-2</v>
      </c>
      <c r="DQ177" s="399">
        <v>0</v>
      </c>
      <c r="DR177" s="399">
        <v>0</v>
      </c>
      <c r="DS177" s="399"/>
      <c r="DT177" s="399"/>
      <c r="DU177" s="399"/>
      <c r="DV177" s="399">
        <v>44.079798599539174</v>
      </c>
      <c r="DW177" s="399">
        <v>0</v>
      </c>
      <c r="DX177" s="399">
        <v>0</v>
      </c>
      <c r="DY177" s="399">
        <v>-30.084689999999995</v>
      </c>
      <c r="DZ177" s="399">
        <v>1.9647000000000006</v>
      </c>
      <c r="EA177" s="399">
        <v>0</v>
      </c>
      <c r="EB177" s="399">
        <v>0</v>
      </c>
      <c r="EC177" s="399">
        <v>-26.891607661077821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227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956</v>
      </c>
      <c r="C178" s="399" t="s">
        <v>2328</v>
      </c>
      <c r="D178" s="399" t="s">
        <v>2335</v>
      </c>
      <c r="E178" s="399" t="s">
        <v>894</v>
      </c>
      <c r="F178" s="399" t="s">
        <v>2342</v>
      </c>
      <c r="G178" s="399" t="s">
        <v>2341</v>
      </c>
      <c r="H178" s="399" t="s">
        <v>1239</v>
      </c>
      <c r="I178" s="399" t="s">
        <v>1239</v>
      </c>
      <c r="J178" s="399" t="s">
        <v>2329</v>
      </c>
      <c r="K178" s="789">
        <v>44743</v>
      </c>
      <c r="L178" s="399">
        <v>0</v>
      </c>
      <c r="M178" s="399">
        <v>0</v>
      </c>
      <c r="N178" s="399">
        <v>0.107</v>
      </c>
      <c r="O178" s="399">
        <v>4.2799999999999998E-2</v>
      </c>
      <c r="P178" s="399">
        <v>0.107</v>
      </c>
      <c r="Q178" s="399">
        <v>4.2799999999999998E-2</v>
      </c>
      <c r="R178" s="399"/>
      <c r="S178" s="399">
        <v>425.49</v>
      </c>
      <c r="T178" s="399">
        <v>205.96</v>
      </c>
      <c r="U178" s="399"/>
      <c r="V178" s="399">
        <v>67.565150000000003</v>
      </c>
      <c r="W178" s="399">
        <v>67.565150000000003</v>
      </c>
      <c r="X178" s="399">
        <v>50.56606</v>
      </c>
      <c r="Y178" s="399">
        <v>0</v>
      </c>
      <c r="Z178" s="399">
        <v>6.5242291007911311</v>
      </c>
      <c r="AA178" s="399">
        <v>0</v>
      </c>
      <c r="AB178" s="399">
        <v>0</v>
      </c>
      <c r="AC178" s="399">
        <v>0</v>
      </c>
      <c r="AD178" s="399">
        <v>8.6736635076952169</v>
      </c>
      <c r="AE178" s="399">
        <v>26.647109887857017</v>
      </c>
      <c r="AF178" s="399">
        <v>21.500129173342998</v>
      </c>
      <c r="AG178" s="399">
        <v>0.53803355756940796</v>
      </c>
      <c r="AH178" s="399">
        <v>0</v>
      </c>
      <c r="AI178" s="399">
        <v>0</v>
      </c>
      <c r="AJ178" s="399">
        <v>0</v>
      </c>
      <c r="AK178" s="399">
        <v>0</v>
      </c>
      <c r="AL178" s="399">
        <v>1.0082792735045549</v>
      </c>
      <c r="AM178" s="399"/>
      <c r="AN178" s="399">
        <v>0.11576898819716627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2.5586338611453909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>
        <v>32.767252000000006</v>
      </c>
      <c r="BT178" s="399"/>
      <c r="BU178" s="399"/>
      <c r="BV178" s="399">
        <v>24.05876303448839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16.634399999999999</v>
      </c>
      <c r="CJ178" s="399">
        <v>-7.1787040000000033</v>
      </c>
      <c r="CK178" s="399"/>
      <c r="CL178" s="399"/>
      <c r="CM178" s="399"/>
      <c r="CN178" s="399"/>
      <c r="CO178" s="399">
        <v>-18.186789999999998</v>
      </c>
      <c r="CP178" s="399">
        <v>1.1876999999999993</v>
      </c>
      <c r="CQ178" s="399">
        <v>31</v>
      </c>
      <c r="CR178" s="399">
        <v>-0.74346125961366738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-1.0836165853486248</v>
      </c>
      <c r="DA178" s="399">
        <v>0</v>
      </c>
      <c r="DB178" s="399">
        <v>0</v>
      </c>
      <c r="DC178" s="399">
        <v>1.1873917779799115</v>
      </c>
      <c r="DD178" s="399">
        <v>0</v>
      </c>
      <c r="DE178" s="399">
        <v>0</v>
      </c>
      <c r="DF178" s="399">
        <v>0</v>
      </c>
      <c r="DG178" s="399">
        <v>0.14130616542304786</v>
      </c>
      <c r="DH178" s="399">
        <v>0</v>
      </c>
      <c r="DI178" s="399">
        <v>-0.85496762526803316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-0.11257291610362929</v>
      </c>
      <c r="DP178" s="399">
        <v>-2.100207629633849E-2</v>
      </c>
      <c r="DQ178" s="399">
        <v>0</v>
      </c>
      <c r="DR178" s="399">
        <v>0</v>
      </c>
      <c r="DS178" s="399"/>
      <c r="DT178" s="399"/>
      <c r="DU178" s="399"/>
      <c r="DV178" s="399">
        <v>26.647109887857017</v>
      </c>
      <c r="DW178" s="399">
        <v>0</v>
      </c>
      <c r="DX178" s="399">
        <v>0</v>
      </c>
      <c r="DY178" s="399">
        <v>-18.186790000000002</v>
      </c>
      <c r="DZ178" s="399">
        <v>1.1876999999999995</v>
      </c>
      <c r="EA178" s="399">
        <v>0</v>
      </c>
      <c r="EB178" s="399">
        <v>0</v>
      </c>
      <c r="EC178" s="399">
        <v>-16.256508586075292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227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956</v>
      </c>
      <c r="C179" s="399" t="s">
        <v>2328</v>
      </c>
      <c r="D179" s="399" t="s">
        <v>1823</v>
      </c>
      <c r="E179" s="399" t="s">
        <v>889</v>
      </c>
      <c r="F179" s="399" t="s">
        <v>889</v>
      </c>
      <c r="G179" s="399" t="s">
        <v>1239</v>
      </c>
      <c r="H179" s="399" t="s">
        <v>1239</v>
      </c>
      <c r="I179" s="399" t="s">
        <v>1239</v>
      </c>
      <c r="J179" s="399" t="s">
        <v>2329</v>
      </c>
      <c r="K179" s="789">
        <v>44774</v>
      </c>
      <c r="L179" s="399">
        <v>0</v>
      </c>
      <c r="M179" s="399">
        <v>0</v>
      </c>
      <c r="N179" s="399">
        <v>223.029</v>
      </c>
      <c r="O179" s="399">
        <v>223.029</v>
      </c>
      <c r="P179" s="399">
        <v>223.029</v>
      </c>
      <c r="Q179" s="399">
        <v>223.029</v>
      </c>
      <c r="R179" s="399"/>
      <c r="S179" s="399">
        <v>425.49</v>
      </c>
      <c r="T179" s="399">
        <v>205.96</v>
      </c>
      <c r="U179" s="399"/>
      <c r="V179" s="399">
        <v>140831.66204999998</v>
      </c>
      <c r="W179" s="399">
        <v>140831.66204999998</v>
      </c>
      <c r="X179" s="399">
        <v>105399.04482000001</v>
      </c>
      <c r="Y179" s="399">
        <v>0</v>
      </c>
      <c r="Z179" s="399">
        <v>13598.99338430229</v>
      </c>
      <c r="AA179" s="399">
        <v>0</v>
      </c>
      <c r="AB179" s="399">
        <v>0</v>
      </c>
      <c r="AC179" s="399">
        <v>0</v>
      </c>
      <c r="AD179" s="399">
        <v>18079.238303343522</v>
      </c>
      <c r="AE179" s="399">
        <v>55542.787581110868</v>
      </c>
      <c r="AF179" s="399">
        <v>44814.507564500149</v>
      </c>
      <c r="AG179" s="399">
        <v>1121.4680963658643</v>
      </c>
      <c r="AH179" s="399">
        <v>0</v>
      </c>
      <c r="AI179" s="399">
        <v>0</v>
      </c>
      <c r="AJ179" s="399">
        <v>0</v>
      </c>
      <c r="AK179" s="399">
        <v>0</v>
      </c>
      <c r="AL179" s="399">
        <v>2101.6403559854894</v>
      </c>
      <c r="AM179" s="399"/>
      <c r="AN179" s="399">
        <v>241.30693148248406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5333.1733777326672</v>
      </c>
      <c r="BH179" s="399">
        <v>0</v>
      </c>
      <c r="BI179" s="399">
        <v>269.66000000000003</v>
      </c>
      <c r="BJ179" s="399">
        <v>1244.3499999999999</v>
      </c>
      <c r="BK179" s="399">
        <v>18132.91</v>
      </c>
      <c r="BL179" s="399">
        <v>946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50147.680942232815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105399.5174</v>
      </c>
      <c r="CJ179" s="399">
        <v>-35432.174650000015</v>
      </c>
      <c r="CK179" s="399"/>
      <c r="CL179" s="399"/>
      <c r="CM179" s="399"/>
      <c r="CN179" s="399"/>
      <c r="CO179" s="399">
        <v>-37908.239130000002</v>
      </c>
      <c r="CP179" s="399">
        <v>2475.6218999999987</v>
      </c>
      <c r="CQ179" s="399">
        <v>31</v>
      </c>
      <c r="CR179" s="399">
        <v>-1549.6581427138153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-2258.6721814366229</v>
      </c>
      <c r="DA179" s="399">
        <v>0</v>
      </c>
      <c r="DB179" s="399">
        <v>0</v>
      </c>
      <c r="DC179" s="399">
        <v>2474.9794472063659</v>
      </c>
      <c r="DD179" s="399">
        <v>0</v>
      </c>
      <c r="DE179" s="399">
        <v>0</v>
      </c>
      <c r="DF179" s="399">
        <v>0</v>
      </c>
      <c r="DG179" s="399">
        <v>294.53619409473777</v>
      </c>
      <c r="DH179" s="399">
        <v>0</v>
      </c>
      <c r="DI179" s="399">
        <v>-1782.0801354757386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-234.6450925764143</v>
      </c>
      <c r="DP179" s="399">
        <v>-43.776374526131548</v>
      </c>
      <c r="DQ179" s="399">
        <v>0</v>
      </c>
      <c r="DR179" s="399">
        <v>0</v>
      </c>
      <c r="DS179" s="399"/>
      <c r="DT179" s="399"/>
      <c r="DU179" s="399"/>
      <c r="DV179" s="399">
        <v>55542.787581110868</v>
      </c>
      <c r="DW179" s="399">
        <v>0</v>
      </c>
      <c r="DX179" s="399">
        <v>0</v>
      </c>
      <c r="DY179" s="399">
        <v>-37908.239129999994</v>
      </c>
      <c r="DZ179" s="399">
        <v>2475.6218999999983</v>
      </c>
      <c r="EA179" s="399">
        <v>0</v>
      </c>
      <c r="EB179" s="399">
        <v>0</v>
      </c>
      <c r="EC179" s="399">
        <v>-33884.793022839134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227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2328</v>
      </c>
      <c r="D180" s="399" t="s">
        <v>1823</v>
      </c>
      <c r="E180" s="399" t="s">
        <v>889</v>
      </c>
      <c r="F180" s="399" t="s">
        <v>2330</v>
      </c>
      <c r="G180" s="399" t="s">
        <v>1239</v>
      </c>
      <c r="H180" s="399" t="s">
        <v>1239</v>
      </c>
      <c r="I180" s="399" t="s">
        <v>1239</v>
      </c>
      <c r="J180" s="399" t="s">
        <v>2329</v>
      </c>
      <c r="K180" s="789">
        <v>44774</v>
      </c>
      <c r="L180" s="399">
        <v>0</v>
      </c>
      <c r="M180" s="399">
        <v>0</v>
      </c>
      <c r="N180" s="399">
        <v>0.56999999999999995</v>
      </c>
      <c r="O180" s="399">
        <v>0.56999999999999995</v>
      </c>
      <c r="P180" s="399">
        <v>0.56999999999999995</v>
      </c>
      <c r="Q180" s="399">
        <v>0.56999999999999995</v>
      </c>
      <c r="R180" s="399"/>
      <c r="S180" s="399">
        <v>355.1</v>
      </c>
      <c r="T180" s="399">
        <v>205.96</v>
      </c>
      <c r="U180" s="399"/>
      <c r="V180" s="399">
        <v>319.80419999999998</v>
      </c>
      <c r="W180" s="399">
        <v>319.80419999999998</v>
      </c>
      <c r="X180" s="399">
        <v>234.3954</v>
      </c>
      <c r="Y180" s="399">
        <v>0</v>
      </c>
      <c r="Z180" s="399">
        <v>0</v>
      </c>
      <c r="AA180" s="399">
        <v>0</v>
      </c>
      <c r="AB180" s="399">
        <v>0</v>
      </c>
      <c r="AC180" s="399">
        <v>0</v>
      </c>
      <c r="AD180" s="399">
        <v>46.205497190525925</v>
      </c>
      <c r="AE180" s="399">
        <v>141.95189379512615</v>
      </c>
      <c r="AF180" s="399">
        <v>114.53339840005148</v>
      </c>
      <c r="AG180" s="399">
        <v>2.8661600730332943</v>
      </c>
      <c r="AH180" s="399">
        <v>0</v>
      </c>
      <c r="AI180" s="399">
        <v>0</v>
      </c>
      <c r="AJ180" s="399">
        <v>0</v>
      </c>
      <c r="AK180" s="399">
        <v>0</v>
      </c>
      <c r="AL180" s="399">
        <v>0</v>
      </c>
      <c r="AM180" s="399"/>
      <c r="AN180" s="399">
        <v>0.61671330161107263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13.630105615447409</v>
      </c>
      <c r="BH180" s="399">
        <v>0</v>
      </c>
      <c r="BI180" s="399">
        <v>0.41</v>
      </c>
      <c r="BJ180" s="399">
        <v>2</v>
      </c>
      <c r="BK180" s="399">
        <v>11.51</v>
      </c>
      <c r="BL180" s="399">
        <v>0</v>
      </c>
      <c r="BM180" s="399"/>
      <c r="BN180" s="399"/>
      <c r="BO180" s="399"/>
      <c r="BP180" s="399"/>
      <c r="BQ180" s="399"/>
      <c r="BR180" s="399"/>
      <c r="BS180" s="399"/>
      <c r="BT180" s="399">
        <v>152.3553</v>
      </c>
      <c r="BU180" s="399"/>
      <c r="BV180" s="399">
        <v>128.16350401549889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82.040099999999995</v>
      </c>
      <c r="CJ180" s="399">
        <v>-29.9208</v>
      </c>
      <c r="CK180" s="399"/>
      <c r="CL180" s="399"/>
      <c r="CM180" s="399"/>
      <c r="CN180" s="399"/>
      <c r="CO180" s="399">
        <v>-91.735800000000012</v>
      </c>
      <c r="CP180" s="399">
        <v>6.3269999999999964</v>
      </c>
      <c r="CQ180" s="399">
        <v>31</v>
      </c>
      <c r="CR180" s="399">
        <v>1.1936933701126407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-5.7725369499880088</v>
      </c>
      <c r="DA180" s="399">
        <v>0</v>
      </c>
      <c r="DB180" s="399">
        <v>0</v>
      </c>
      <c r="DC180" s="399">
        <v>6.325358069612605</v>
      </c>
      <c r="DD180" s="399">
        <v>0</v>
      </c>
      <c r="DE180" s="399">
        <v>0</v>
      </c>
      <c r="DF180" s="399">
        <v>0</v>
      </c>
      <c r="DG180" s="399">
        <v>0.75275247001062873</v>
      </c>
      <c r="DH180" s="399">
        <v>0</v>
      </c>
      <c r="DI180" s="399">
        <v>0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0</v>
      </c>
      <c r="DP180" s="399">
        <v>-0.11188021952255089</v>
      </c>
      <c r="DQ180" s="399">
        <v>0</v>
      </c>
      <c r="DR180" s="399">
        <v>0</v>
      </c>
      <c r="DS180" s="399"/>
      <c r="DT180" s="399"/>
      <c r="DU180" s="399"/>
      <c r="DV180" s="399">
        <v>141.95189379512615</v>
      </c>
      <c r="DW180" s="399">
        <v>0</v>
      </c>
      <c r="DX180" s="399">
        <v>0</v>
      </c>
      <c r="DY180" s="399">
        <v>-91.735799999999998</v>
      </c>
      <c r="DZ180" s="399">
        <v>6.3269999999999982</v>
      </c>
      <c r="EA180" s="399">
        <v>0</v>
      </c>
      <c r="EB180" s="399">
        <v>0</v>
      </c>
      <c r="EC180" s="399">
        <v>-86.60009246787773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227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956</v>
      </c>
      <c r="C181" s="399" t="s">
        <v>2328</v>
      </c>
      <c r="D181" s="399" t="s">
        <v>1823</v>
      </c>
      <c r="E181" s="399" t="s">
        <v>889</v>
      </c>
      <c r="F181" s="399" t="s">
        <v>2331</v>
      </c>
      <c r="G181" s="399" t="s">
        <v>1239</v>
      </c>
      <c r="H181" s="399" t="s">
        <v>1239</v>
      </c>
      <c r="I181" s="399" t="s">
        <v>1239</v>
      </c>
      <c r="J181" s="399" t="s">
        <v>2329</v>
      </c>
      <c r="K181" s="789">
        <v>44774</v>
      </c>
      <c r="L181" s="399">
        <v>0</v>
      </c>
      <c r="M181" s="399">
        <v>0</v>
      </c>
      <c r="N181" s="399">
        <v>1.224</v>
      </c>
      <c r="O181" s="399">
        <v>1.224</v>
      </c>
      <c r="P181" s="399">
        <v>1.224</v>
      </c>
      <c r="Q181" s="399">
        <v>1.224</v>
      </c>
      <c r="R181" s="399"/>
      <c r="S181" s="399">
        <v>355.1</v>
      </c>
      <c r="T181" s="399">
        <v>205.96</v>
      </c>
      <c r="U181" s="399"/>
      <c r="V181" s="399">
        <v>686.73743999999999</v>
      </c>
      <c r="W181" s="399">
        <v>686.73743999999999</v>
      </c>
      <c r="X181" s="399">
        <v>503.33328</v>
      </c>
      <c r="Y181" s="399">
        <v>0</v>
      </c>
      <c r="Z181" s="399">
        <v>0</v>
      </c>
      <c r="AA181" s="399">
        <v>0</v>
      </c>
      <c r="AB181" s="399">
        <v>0</v>
      </c>
      <c r="AC181" s="399">
        <v>0</v>
      </c>
      <c r="AD181" s="399">
        <v>99.220225545971459</v>
      </c>
      <c r="AE181" s="399">
        <v>304.82301404427091</v>
      </c>
      <c r="AF181" s="399">
        <v>245.94540288011055</v>
      </c>
      <c r="AG181" s="399">
        <v>6.1547016305136015</v>
      </c>
      <c r="AH181" s="399">
        <v>0</v>
      </c>
      <c r="AI181" s="399">
        <v>0</v>
      </c>
      <c r="AJ181" s="399">
        <v>0</v>
      </c>
      <c r="AK181" s="399">
        <v>0</v>
      </c>
      <c r="AL181" s="399">
        <v>0</v>
      </c>
      <c r="AM181" s="399"/>
      <c r="AN181" s="399">
        <v>1.3243106687227244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29.268858374223914</v>
      </c>
      <c r="BH181" s="399">
        <v>0</v>
      </c>
      <c r="BI181" s="399">
        <v>1.57</v>
      </c>
      <c r="BJ181" s="399">
        <v>7.38</v>
      </c>
      <c r="BK181" s="399">
        <v>42.38</v>
      </c>
      <c r="BL181" s="399">
        <v>4</v>
      </c>
      <c r="BM181" s="399"/>
      <c r="BN181" s="399"/>
      <c r="BO181" s="399"/>
      <c r="BP181" s="399"/>
      <c r="BQ181" s="399"/>
      <c r="BR181" s="399"/>
      <c r="BS181" s="399"/>
      <c r="BT181" s="399">
        <v>201.32351999999997</v>
      </c>
      <c r="BU181" s="399"/>
      <c r="BV181" s="399">
        <v>275.21426125433447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301.02279999999996</v>
      </c>
      <c r="CJ181" s="399">
        <v>-111.05456000000004</v>
      </c>
      <c r="CK181" s="399"/>
      <c r="CL181" s="399"/>
      <c r="CM181" s="399"/>
      <c r="CN181" s="399"/>
      <c r="CO181" s="399">
        <v>-196.99056000000002</v>
      </c>
      <c r="CP181" s="399">
        <v>13.586399999999992</v>
      </c>
      <c r="CQ181" s="399">
        <v>31</v>
      </c>
      <c r="CR181" s="399">
        <v>2.5632994473998565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-12.395763555763708</v>
      </c>
      <c r="DA181" s="399">
        <v>0</v>
      </c>
      <c r="DB181" s="399">
        <v>0</v>
      </c>
      <c r="DC181" s="399">
        <v>13.582874170536542</v>
      </c>
      <c r="DD181" s="399">
        <v>0</v>
      </c>
      <c r="DE181" s="399">
        <v>0</v>
      </c>
      <c r="DF181" s="399">
        <v>0</v>
      </c>
      <c r="DG181" s="399">
        <v>1.6164368829701914</v>
      </c>
      <c r="DH181" s="399">
        <v>0</v>
      </c>
      <c r="DI181" s="399">
        <v>0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0</v>
      </c>
      <c r="DP181" s="399">
        <v>-0.24024805034316188</v>
      </c>
      <c r="DQ181" s="399">
        <v>0</v>
      </c>
      <c r="DR181" s="399">
        <v>0</v>
      </c>
      <c r="DS181" s="399"/>
      <c r="DT181" s="399"/>
      <c r="DU181" s="399"/>
      <c r="DV181" s="399">
        <v>304.82301404427091</v>
      </c>
      <c r="DW181" s="399">
        <v>0</v>
      </c>
      <c r="DX181" s="399">
        <v>0</v>
      </c>
      <c r="DY181" s="399">
        <v>-196.99056000000002</v>
      </c>
      <c r="DZ181" s="399">
        <v>13.586399999999998</v>
      </c>
      <c r="EA181" s="399">
        <v>0</v>
      </c>
      <c r="EB181" s="399">
        <v>0</v>
      </c>
      <c r="EC181" s="399">
        <v>-185.96230382575848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227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2328</v>
      </c>
      <c r="D182" s="399" t="s">
        <v>1823</v>
      </c>
      <c r="E182" s="399" t="s">
        <v>889</v>
      </c>
      <c r="F182" s="399" t="s">
        <v>2332</v>
      </c>
      <c r="G182" s="399" t="s">
        <v>1239</v>
      </c>
      <c r="H182" s="399" t="s">
        <v>1239</v>
      </c>
      <c r="I182" s="399" t="s">
        <v>1239</v>
      </c>
      <c r="J182" s="399" t="s">
        <v>2329</v>
      </c>
      <c r="K182" s="789">
        <v>44774</v>
      </c>
      <c r="L182" s="399">
        <v>0</v>
      </c>
      <c r="M182" s="399">
        <v>0</v>
      </c>
      <c r="N182" s="399">
        <v>1.32</v>
      </c>
      <c r="O182" s="399">
        <v>1.32</v>
      </c>
      <c r="P182" s="399">
        <v>1.32</v>
      </c>
      <c r="Q182" s="399">
        <v>1.32</v>
      </c>
      <c r="R182" s="399"/>
      <c r="S182" s="399">
        <v>355.1</v>
      </c>
      <c r="T182" s="399">
        <v>205.96</v>
      </c>
      <c r="U182" s="399"/>
      <c r="V182" s="399">
        <v>740.59920000000011</v>
      </c>
      <c r="W182" s="399">
        <v>740.59920000000011</v>
      </c>
      <c r="X182" s="399">
        <v>542.81040000000007</v>
      </c>
      <c r="Y182" s="399">
        <v>0</v>
      </c>
      <c r="Z182" s="399">
        <v>0</v>
      </c>
      <c r="AA182" s="399">
        <v>0</v>
      </c>
      <c r="AB182" s="399">
        <v>0</v>
      </c>
      <c r="AC182" s="399">
        <v>0</v>
      </c>
      <c r="AD182" s="399">
        <v>107.00220402016531</v>
      </c>
      <c r="AE182" s="399">
        <v>328.73070142029218</v>
      </c>
      <c r="AF182" s="399">
        <v>265.23523840011927</v>
      </c>
      <c r="AG182" s="399">
        <v>6.6374233270244725</v>
      </c>
      <c r="AH182" s="399">
        <v>0</v>
      </c>
      <c r="AI182" s="399">
        <v>0</v>
      </c>
      <c r="AJ182" s="399">
        <v>0</v>
      </c>
      <c r="AK182" s="399">
        <v>0</v>
      </c>
      <c r="AL182" s="399">
        <v>0</v>
      </c>
      <c r="AM182" s="399"/>
      <c r="AN182" s="399">
        <v>1.4281781721519577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31.564455109457164</v>
      </c>
      <c r="BH182" s="399">
        <v>0</v>
      </c>
      <c r="BI182" s="399">
        <v>2.62</v>
      </c>
      <c r="BJ182" s="399">
        <v>12.07</v>
      </c>
      <c r="BK182" s="399">
        <v>85.58</v>
      </c>
      <c r="BL182" s="399">
        <v>10</v>
      </c>
      <c r="BM182" s="399"/>
      <c r="BN182" s="399"/>
      <c r="BO182" s="399"/>
      <c r="BP182" s="399"/>
      <c r="BQ182" s="399"/>
      <c r="BR182" s="399"/>
      <c r="BS182" s="399"/>
      <c r="BT182" s="399">
        <v>54.265199999999986</v>
      </c>
      <c r="BU182" s="399"/>
      <c r="BV182" s="399">
        <v>296.79969350957646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488.54520000000002</v>
      </c>
      <c r="CJ182" s="399">
        <v>-178.03199999999993</v>
      </c>
      <c r="CK182" s="399"/>
      <c r="CL182" s="399"/>
      <c r="CM182" s="399"/>
      <c r="CN182" s="399"/>
      <c r="CO182" s="399">
        <v>-212.44080000000005</v>
      </c>
      <c r="CP182" s="399">
        <v>14.651999999999994</v>
      </c>
      <c r="CQ182" s="399">
        <v>31</v>
      </c>
      <c r="CR182" s="399">
        <v>2.7643425413135674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-13.367980305235378</v>
      </c>
      <c r="DA182" s="399">
        <v>0</v>
      </c>
      <c r="DB182" s="399">
        <v>0</v>
      </c>
      <c r="DC182" s="399">
        <v>14.648197634892313</v>
      </c>
      <c r="DD182" s="399">
        <v>0</v>
      </c>
      <c r="DE182" s="399">
        <v>0</v>
      </c>
      <c r="DF182" s="399">
        <v>0</v>
      </c>
      <c r="DG182" s="399">
        <v>1.7432162463404026</v>
      </c>
      <c r="DH182" s="399">
        <v>0</v>
      </c>
      <c r="DI182" s="399">
        <v>0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0</v>
      </c>
      <c r="DP182" s="399">
        <v>-0.25909103468380179</v>
      </c>
      <c r="DQ182" s="399">
        <v>0</v>
      </c>
      <c r="DR182" s="399">
        <v>0</v>
      </c>
      <c r="DS182" s="399"/>
      <c r="DT182" s="399"/>
      <c r="DU182" s="399"/>
      <c r="DV182" s="399">
        <v>328.73070142029218</v>
      </c>
      <c r="DW182" s="399">
        <v>0</v>
      </c>
      <c r="DX182" s="399">
        <v>0</v>
      </c>
      <c r="DY182" s="399">
        <v>-212.44080000000002</v>
      </c>
      <c r="DZ182" s="399">
        <v>14.651999999999987</v>
      </c>
      <c r="EA182" s="399">
        <v>0</v>
      </c>
      <c r="EB182" s="399">
        <v>0</v>
      </c>
      <c r="EC182" s="399">
        <v>-200.54758255719054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227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956</v>
      </c>
      <c r="C183" s="399" t="s">
        <v>2328</v>
      </c>
      <c r="D183" s="399" t="s">
        <v>1823</v>
      </c>
      <c r="E183" s="399" t="s">
        <v>889</v>
      </c>
      <c r="F183" s="399" t="s">
        <v>2333</v>
      </c>
      <c r="G183" s="399" t="s">
        <v>1239</v>
      </c>
      <c r="H183" s="399" t="s">
        <v>1239</v>
      </c>
      <c r="I183" s="399" t="s">
        <v>1239</v>
      </c>
      <c r="J183" s="399" t="s">
        <v>2329</v>
      </c>
      <c r="K183" s="789">
        <v>44774</v>
      </c>
      <c r="L183" s="399">
        <v>0</v>
      </c>
      <c r="M183" s="399">
        <v>0</v>
      </c>
      <c r="N183" s="399">
        <v>0.373</v>
      </c>
      <c r="O183" s="399">
        <v>0.373</v>
      </c>
      <c r="P183" s="399">
        <v>0.373</v>
      </c>
      <c r="Q183" s="399">
        <v>0.373</v>
      </c>
      <c r="R183" s="399"/>
      <c r="S183" s="399">
        <v>355.1</v>
      </c>
      <c r="T183" s="399">
        <v>205.96</v>
      </c>
      <c r="U183" s="399"/>
      <c r="V183" s="399">
        <v>209.27538000000001</v>
      </c>
      <c r="W183" s="399">
        <v>209.27538000000001</v>
      </c>
      <c r="X183" s="399">
        <v>153.38506000000001</v>
      </c>
      <c r="Y183" s="399">
        <v>0</v>
      </c>
      <c r="Z183" s="399">
        <v>0</v>
      </c>
      <c r="AA183" s="399">
        <v>0</v>
      </c>
      <c r="AB183" s="399">
        <v>0</v>
      </c>
      <c r="AC183" s="399">
        <v>0</v>
      </c>
      <c r="AD183" s="399">
        <v>30.236228863273983</v>
      </c>
      <c r="AE183" s="399">
        <v>92.891326992249233</v>
      </c>
      <c r="AF183" s="399">
        <v>74.949048426700358</v>
      </c>
      <c r="AG183" s="399">
        <v>1.8755749249849454</v>
      </c>
      <c r="AH183" s="399">
        <v>0</v>
      </c>
      <c r="AI183" s="399">
        <v>0</v>
      </c>
      <c r="AJ183" s="399">
        <v>0</v>
      </c>
      <c r="AK183" s="399">
        <v>0</v>
      </c>
      <c r="AL183" s="399">
        <v>0</v>
      </c>
      <c r="AM183" s="399"/>
      <c r="AN183" s="399">
        <v>0.40356852894900019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8.9193498150208494</v>
      </c>
      <c r="BH183" s="399">
        <v>0</v>
      </c>
      <c r="BI183" s="399">
        <v>0.83</v>
      </c>
      <c r="BJ183" s="399">
        <v>3.7</v>
      </c>
      <c r="BK183" s="399">
        <v>32.35</v>
      </c>
      <c r="BL183" s="399">
        <v>5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83.868398241721209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152.1514</v>
      </c>
      <c r="CJ183" s="399">
        <v>-57.15397999999999</v>
      </c>
      <c r="CK183" s="399"/>
      <c r="CL183" s="399"/>
      <c r="CM183" s="399"/>
      <c r="CN183" s="399"/>
      <c r="CO183" s="399">
        <v>-60.030620000000006</v>
      </c>
      <c r="CP183" s="399">
        <v>4.1402999999999981</v>
      </c>
      <c r="CQ183" s="399">
        <v>31</v>
      </c>
      <c r="CR183" s="399">
        <v>0.78113618781058847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-3.7774671620096925</v>
      </c>
      <c r="DA183" s="399">
        <v>0</v>
      </c>
      <c r="DB183" s="399">
        <v>0</v>
      </c>
      <c r="DC183" s="399">
        <v>4.1392255437991281</v>
      </c>
      <c r="DD183" s="399">
        <v>0</v>
      </c>
      <c r="DE183" s="399">
        <v>0</v>
      </c>
      <c r="DF183" s="399">
        <v>0</v>
      </c>
      <c r="DG183" s="399">
        <v>0.49259065142800829</v>
      </c>
      <c r="DH183" s="399">
        <v>0</v>
      </c>
      <c r="DI183" s="399">
        <v>0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0</v>
      </c>
      <c r="DP183" s="399">
        <v>-7.3212845406862237E-2</v>
      </c>
      <c r="DQ183" s="399">
        <v>0</v>
      </c>
      <c r="DR183" s="399">
        <v>0</v>
      </c>
      <c r="DS183" s="399"/>
      <c r="DT183" s="399"/>
      <c r="DU183" s="399"/>
      <c r="DV183" s="399">
        <v>92.891326992249233</v>
      </c>
      <c r="DW183" s="399">
        <v>0</v>
      </c>
      <c r="DX183" s="399">
        <v>0</v>
      </c>
      <c r="DY183" s="399">
        <v>-60.030620000000013</v>
      </c>
      <c r="DZ183" s="399">
        <v>4.1402999999999963</v>
      </c>
      <c r="EA183" s="399">
        <v>0</v>
      </c>
      <c r="EB183" s="399">
        <v>0</v>
      </c>
      <c r="EC183" s="399">
        <v>-56.669885071084913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227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956</v>
      </c>
      <c r="C184" s="399" t="s">
        <v>2328</v>
      </c>
      <c r="D184" s="399" t="s">
        <v>1826</v>
      </c>
      <c r="E184" s="399" t="s">
        <v>890</v>
      </c>
      <c r="F184" s="399" t="s">
        <v>1239</v>
      </c>
      <c r="G184" s="399" t="s">
        <v>1239</v>
      </c>
      <c r="H184" s="399" t="s">
        <v>1239</v>
      </c>
      <c r="I184" s="399" t="s">
        <v>1239</v>
      </c>
      <c r="J184" s="399" t="s">
        <v>2329</v>
      </c>
      <c r="K184" s="789">
        <v>44774</v>
      </c>
      <c r="L184" s="399">
        <v>0</v>
      </c>
      <c r="M184" s="399">
        <v>0</v>
      </c>
      <c r="N184" s="399">
        <v>71.153000000000006</v>
      </c>
      <c r="O184" s="399">
        <v>71.153000000000006</v>
      </c>
      <c r="P184" s="399">
        <v>71.153000000000006</v>
      </c>
      <c r="Q184" s="399">
        <v>71.153000000000006</v>
      </c>
      <c r="R184" s="399"/>
      <c r="S184" s="399">
        <v>425.49</v>
      </c>
      <c r="T184" s="399">
        <v>205.96</v>
      </c>
      <c r="U184" s="399"/>
      <c r="V184" s="399">
        <v>44929.561850000006</v>
      </c>
      <c r="W184" s="399">
        <v>44929.561850000006</v>
      </c>
      <c r="X184" s="399">
        <v>33625.484740000007</v>
      </c>
      <c r="Y184" s="399">
        <v>0</v>
      </c>
      <c r="Z184" s="399">
        <v>4338.4904038186105</v>
      </c>
      <c r="AA184" s="399">
        <v>0</v>
      </c>
      <c r="AB184" s="399">
        <v>0</v>
      </c>
      <c r="AC184" s="399">
        <v>0</v>
      </c>
      <c r="AD184" s="399">
        <v>5767.8241080657745</v>
      </c>
      <c r="AE184" s="399">
        <v>17719.829998604586</v>
      </c>
      <c r="AF184" s="399">
        <v>14297.184028699761</v>
      </c>
      <c r="AG184" s="399">
        <v>357.78225908164569</v>
      </c>
      <c r="AH184" s="399">
        <v>0</v>
      </c>
      <c r="AI184" s="399">
        <v>0</v>
      </c>
      <c r="AJ184" s="399">
        <v>0</v>
      </c>
      <c r="AK184" s="399">
        <v>0</v>
      </c>
      <c r="AL184" s="399">
        <v>670.48687053896822</v>
      </c>
      <c r="AM184" s="399"/>
      <c r="AN184" s="399">
        <v>76.984213244794134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1701.4436927297011</v>
      </c>
      <c r="BH184" s="399">
        <v>0</v>
      </c>
      <c r="BI184" s="399">
        <v>129.78</v>
      </c>
      <c r="BJ184" s="399">
        <v>598.47</v>
      </c>
      <c r="BK184" s="399">
        <v>7036.3</v>
      </c>
      <c r="BL184" s="399">
        <v>40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15998.627721429462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33624.067000000003</v>
      </c>
      <c r="CJ184" s="399">
        <v>-11305.524850000002</v>
      </c>
      <c r="CK184" s="399"/>
      <c r="CL184" s="399"/>
      <c r="CM184" s="399"/>
      <c r="CN184" s="399"/>
      <c r="CO184" s="399">
        <v>-12093.875410000001</v>
      </c>
      <c r="CP184" s="399">
        <v>789.7982999999997</v>
      </c>
      <c r="CQ184" s="399">
        <v>31</v>
      </c>
      <c r="CR184" s="399">
        <v>-494.38784117094838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-720.58477474122174</v>
      </c>
      <c r="DA184" s="399">
        <v>0</v>
      </c>
      <c r="DB184" s="399">
        <v>0</v>
      </c>
      <c r="DC184" s="399">
        <v>789.59333811780016</v>
      </c>
      <c r="DD184" s="399">
        <v>0</v>
      </c>
      <c r="DE184" s="399">
        <v>0</v>
      </c>
      <c r="DF184" s="399">
        <v>0</v>
      </c>
      <c r="DG184" s="399">
        <v>93.965958769590088</v>
      </c>
      <c r="DH184" s="399">
        <v>0</v>
      </c>
      <c r="DI184" s="399">
        <v>-568.53749009996545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-74.85888504225727</v>
      </c>
      <c r="DP184" s="399">
        <v>-13.965988174891336</v>
      </c>
      <c r="DQ184" s="399">
        <v>0</v>
      </c>
      <c r="DR184" s="399">
        <v>0</v>
      </c>
      <c r="DS184" s="399"/>
      <c r="DT184" s="399"/>
      <c r="DU184" s="399"/>
      <c r="DV184" s="399">
        <v>17719.829998604586</v>
      </c>
      <c r="DW184" s="399">
        <v>0</v>
      </c>
      <c r="DX184" s="399">
        <v>0</v>
      </c>
      <c r="DY184" s="399">
        <v>-12093.875410000001</v>
      </c>
      <c r="DZ184" s="399">
        <v>789.79830000000038</v>
      </c>
      <c r="EA184" s="399">
        <v>0</v>
      </c>
      <c r="EB184" s="399">
        <v>0</v>
      </c>
      <c r="EC184" s="399">
        <v>-10810.274349766501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227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956</v>
      </c>
      <c r="C185" s="399" t="s">
        <v>2334</v>
      </c>
      <c r="D185" s="399" t="s">
        <v>533</v>
      </c>
      <c r="E185" s="399" t="s">
        <v>890</v>
      </c>
      <c r="F185" s="399" t="s">
        <v>1239</v>
      </c>
      <c r="G185" s="399" t="s">
        <v>1239</v>
      </c>
      <c r="H185" s="399" t="s">
        <v>1239</v>
      </c>
      <c r="I185" s="399" t="s">
        <v>893</v>
      </c>
      <c r="J185" s="399" t="s">
        <v>2329</v>
      </c>
      <c r="K185" s="789">
        <v>44774</v>
      </c>
      <c r="L185" s="399">
        <v>0</v>
      </c>
      <c r="M185" s="399">
        <v>0</v>
      </c>
      <c r="N185" s="399">
        <v>11.967000000000001</v>
      </c>
      <c r="O185" s="399">
        <v>11.967000000000001</v>
      </c>
      <c r="P185" s="399">
        <v>11.967000000000001</v>
      </c>
      <c r="Q185" s="399">
        <v>11.967000000000001</v>
      </c>
      <c r="R185" s="399"/>
      <c r="S185" s="399">
        <v>2109.83</v>
      </c>
      <c r="T185" s="399">
        <v>205.96</v>
      </c>
      <c r="U185" s="399"/>
      <c r="V185" s="399">
        <v>27713.058930000003</v>
      </c>
      <c r="W185" s="399">
        <v>27713.058930000003</v>
      </c>
      <c r="X185" s="399">
        <v>16353.623520000001</v>
      </c>
      <c r="Y185" s="399">
        <v>0</v>
      </c>
      <c r="Z185" s="399">
        <v>634.81907658668865</v>
      </c>
      <c r="AA185" s="399">
        <v>0</v>
      </c>
      <c r="AB185" s="399">
        <v>0</v>
      </c>
      <c r="AC185" s="399">
        <v>0</v>
      </c>
      <c r="AD185" s="399">
        <v>7160.7662359032474</v>
      </c>
      <c r="AE185" s="399">
        <v>17222.067441341234</v>
      </c>
      <c r="AF185" s="399">
        <v>2404.598559041081</v>
      </c>
      <c r="AG185" s="399">
        <v>60.174276480683226</v>
      </c>
      <c r="AH185" s="399">
        <v>0</v>
      </c>
      <c r="AI185" s="399">
        <v>0</v>
      </c>
      <c r="AJ185" s="399">
        <v>0</v>
      </c>
      <c r="AK185" s="399">
        <v>0</v>
      </c>
      <c r="AL185" s="399">
        <v>112.76708472924307</v>
      </c>
      <c r="AM185" s="399"/>
      <c r="AN185" s="399">
        <v>7.3892955476964461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110.48566073167062</v>
      </c>
      <c r="BH185" s="399">
        <v>0</v>
      </c>
      <c r="BI185" s="399">
        <v>0</v>
      </c>
      <c r="BJ185" s="399">
        <v>0</v>
      </c>
      <c r="BK185" s="399">
        <v>0</v>
      </c>
      <c r="BL185" s="399">
        <v>0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2515.0842197727516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16357.7232</v>
      </c>
      <c r="CJ185" s="399">
        <v>-11355.365729999998</v>
      </c>
      <c r="CK185" s="399"/>
      <c r="CL185" s="399"/>
      <c r="CM185" s="399"/>
      <c r="CN185" s="399"/>
      <c r="CO185" s="399">
        <v>-11492.269109999999</v>
      </c>
      <c r="CP185" s="399">
        <v>132.83369999999994</v>
      </c>
      <c r="CQ185" s="399">
        <v>31</v>
      </c>
      <c r="CR185" s="399">
        <v>-852.82720018461623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-894.60757269923761</v>
      </c>
      <c r="DA185" s="399">
        <v>0</v>
      </c>
      <c r="DB185" s="399">
        <v>0</v>
      </c>
      <c r="DC185" s="399">
        <v>132.79922810360358</v>
      </c>
      <c r="DD185" s="399">
        <v>0</v>
      </c>
      <c r="DE185" s="399">
        <v>0</v>
      </c>
      <c r="DF185" s="399">
        <v>0</v>
      </c>
      <c r="DG185" s="399">
        <v>6.1018128812046655</v>
      </c>
      <c r="DH185" s="399">
        <v>0</v>
      </c>
      <c r="DI185" s="399">
        <v>-83.189868105390474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-12.590281187029262</v>
      </c>
      <c r="DP185" s="399">
        <v>-1.3405191777664172</v>
      </c>
      <c r="DQ185" s="399">
        <v>0</v>
      </c>
      <c r="DR185" s="399">
        <v>0</v>
      </c>
      <c r="DS185" s="399"/>
      <c r="DT185" s="399"/>
      <c r="DU185" s="399"/>
      <c r="DV185" s="399">
        <v>17222.067441341234</v>
      </c>
      <c r="DW185" s="399">
        <v>0</v>
      </c>
      <c r="DX185" s="399">
        <v>0</v>
      </c>
      <c r="DY185" s="399">
        <v>-11492.269110000001</v>
      </c>
      <c r="DZ185" s="399">
        <v>132.83370000000014</v>
      </c>
      <c r="EA185" s="399">
        <v>0</v>
      </c>
      <c r="EB185" s="399">
        <v>0</v>
      </c>
      <c r="EC185" s="399">
        <v>-10506.606097560794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227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956</v>
      </c>
      <c r="C186" s="399" t="s">
        <v>2334</v>
      </c>
      <c r="D186" s="399" t="s">
        <v>533</v>
      </c>
      <c r="E186" s="399" t="s">
        <v>890</v>
      </c>
      <c r="F186" s="399" t="s">
        <v>1239</v>
      </c>
      <c r="G186" s="399" t="s">
        <v>1239</v>
      </c>
      <c r="H186" s="399" t="s">
        <v>1239</v>
      </c>
      <c r="I186" s="399" t="s">
        <v>2326</v>
      </c>
      <c r="J186" s="399" t="s">
        <v>2329</v>
      </c>
      <c r="K186" s="789">
        <v>44774</v>
      </c>
      <c r="L186" s="399">
        <v>0</v>
      </c>
      <c r="M186" s="399">
        <v>0</v>
      </c>
      <c r="N186" s="399">
        <v>397.791</v>
      </c>
      <c r="O186" s="399">
        <v>397.791</v>
      </c>
      <c r="P186" s="399">
        <v>397.791</v>
      </c>
      <c r="Q186" s="399">
        <v>397.791</v>
      </c>
      <c r="R186" s="399"/>
      <c r="S186" s="399">
        <v>72.319999999999993</v>
      </c>
      <c r="T186" s="399">
        <v>205.96</v>
      </c>
      <c r="U186" s="399"/>
      <c r="V186" s="399">
        <v>110697.27948</v>
      </c>
      <c r="W186" s="399">
        <v>110697.27948</v>
      </c>
      <c r="X186" s="399">
        <v>112085.57007</v>
      </c>
      <c r="Y186" s="399">
        <v>0</v>
      </c>
      <c r="Z186" s="399">
        <v>21101.806241705981</v>
      </c>
      <c r="AA186" s="399">
        <v>0</v>
      </c>
      <c r="AB186" s="399">
        <v>0</v>
      </c>
      <c r="AC186" s="399">
        <v>0</v>
      </c>
      <c r="AD186" s="399">
        <v>0</v>
      </c>
      <c r="AE186" s="399">
        <v>0</v>
      </c>
      <c r="AF186" s="399">
        <v>79930.447513955936</v>
      </c>
      <c r="AG186" s="399">
        <v>2000.2327747578724</v>
      </c>
      <c r="AH186" s="399">
        <v>0</v>
      </c>
      <c r="AI186" s="399">
        <v>0</v>
      </c>
      <c r="AJ186" s="399">
        <v>0</v>
      </c>
      <c r="AK186" s="399">
        <v>0</v>
      </c>
      <c r="AL186" s="399">
        <v>3748.4525279126206</v>
      </c>
      <c r="AM186" s="399"/>
      <c r="AN186" s="399">
        <v>245.62507438904629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3672.6164843412707</v>
      </c>
      <c r="BH186" s="399">
        <v>0</v>
      </c>
      <c r="BI186" s="399">
        <v>0</v>
      </c>
      <c r="BJ186" s="399">
        <v>0</v>
      </c>
      <c r="BK186" s="399">
        <v>0</v>
      </c>
      <c r="BL186" s="399">
        <v>0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83603.063998297206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112085.28830000001</v>
      </c>
      <c r="CJ186" s="399">
        <v>1387.9788200000185</v>
      </c>
      <c r="CK186" s="399"/>
      <c r="CL186" s="399"/>
      <c r="CM186" s="399"/>
      <c r="CN186" s="399"/>
      <c r="CO186" s="399">
        <v>-3027.1895099999997</v>
      </c>
      <c r="CP186" s="399">
        <v>4415.4800999999979</v>
      </c>
      <c r="CQ186" s="399">
        <v>31</v>
      </c>
      <c r="CR186" s="399">
        <v>1388.8072334723693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0</v>
      </c>
      <c r="DA186" s="399">
        <v>0</v>
      </c>
      <c r="DB186" s="399">
        <v>0</v>
      </c>
      <c r="DC186" s="399">
        <v>4414.3342313495814</v>
      </c>
      <c r="DD186" s="399">
        <v>0</v>
      </c>
      <c r="DE186" s="399">
        <v>0</v>
      </c>
      <c r="DF186" s="399">
        <v>0</v>
      </c>
      <c r="DG186" s="399">
        <v>202.82829847307448</v>
      </c>
      <c r="DH186" s="399">
        <v>0</v>
      </c>
      <c r="DI186" s="399">
        <v>-2765.286272542111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-418.50927915681132</v>
      </c>
      <c r="DP186" s="399">
        <v>-44.559744651364667</v>
      </c>
      <c r="DQ186" s="399">
        <v>0</v>
      </c>
      <c r="DR186" s="399">
        <v>0</v>
      </c>
      <c r="DS186" s="399"/>
      <c r="DT186" s="399"/>
      <c r="DU186" s="399"/>
      <c r="DV186" s="399">
        <v>0</v>
      </c>
      <c r="DW186" s="399">
        <v>0</v>
      </c>
      <c r="DX186" s="399">
        <v>0</v>
      </c>
      <c r="DY186" s="399">
        <v>-3027.1895100000002</v>
      </c>
      <c r="DZ186" s="399">
        <v>4415.4801000000007</v>
      </c>
      <c r="EA186" s="399">
        <v>0</v>
      </c>
      <c r="EB186" s="399">
        <v>0</v>
      </c>
      <c r="EC186" s="399">
        <v>0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227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956</v>
      </c>
      <c r="C187" s="399" t="s">
        <v>2334</v>
      </c>
      <c r="D187" s="399" t="s">
        <v>533</v>
      </c>
      <c r="E187" s="399" t="s">
        <v>890</v>
      </c>
      <c r="F187" s="399" t="s">
        <v>1239</v>
      </c>
      <c r="G187" s="399" t="s">
        <v>1239</v>
      </c>
      <c r="H187" s="399" t="s">
        <v>1239</v>
      </c>
      <c r="I187" s="399" t="s">
        <v>1239</v>
      </c>
      <c r="J187" s="399" t="s">
        <v>2329</v>
      </c>
      <c r="K187" s="789">
        <v>44774</v>
      </c>
      <c r="L187" s="399">
        <v>2409</v>
      </c>
      <c r="M187" s="399">
        <v>2409</v>
      </c>
      <c r="N187" s="399">
        <v>0</v>
      </c>
      <c r="O187" s="399">
        <v>0</v>
      </c>
      <c r="P187" s="399">
        <v>0</v>
      </c>
      <c r="Q187" s="399">
        <v>0</v>
      </c>
      <c r="R187" s="399">
        <v>26.79</v>
      </c>
      <c r="S187" s="399"/>
      <c r="T187" s="399"/>
      <c r="U187" s="399">
        <v>64537.11</v>
      </c>
      <c r="V187" s="399"/>
      <c r="W187" s="399">
        <v>64537.11</v>
      </c>
      <c r="X187" s="399">
        <v>36929.97</v>
      </c>
      <c r="Y187" s="399">
        <v>0</v>
      </c>
      <c r="Z187" s="399">
        <v>0</v>
      </c>
      <c r="AA187" s="399">
        <v>0</v>
      </c>
      <c r="AB187" s="399">
        <v>0</v>
      </c>
      <c r="AC187" s="399">
        <v>0</v>
      </c>
      <c r="AD187" s="399">
        <v>24264.852523196671</v>
      </c>
      <c r="AE187" s="399">
        <v>40280.498298523096</v>
      </c>
      <c r="AF187" s="399"/>
      <c r="AG187" s="399"/>
      <c r="AH187" s="399"/>
      <c r="AI187" s="399">
        <v>0</v>
      </c>
      <c r="AJ187" s="399">
        <v>0</v>
      </c>
      <c r="AK187" s="399">
        <v>0</v>
      </c>
      <c r="AL187" s="399">
        <v>0</v>
      </c>
      <c r="AM187" s="399"/>
      <c r="AN187" s="399">
        <v>0</v>
      </c>
      <c r="AO187" s="399">
        <v>0</v>
      </c>
      <c r="AP187" s="399">
        <v>0</v>
      </c>
      <c r="AQ187" s="399">
        <v>0</v>
      </c>
      <c r="AR187" s="399">
        <v>0</v>
      </c>
      <c r="AS187" s="399"/>
      <c r="AT187" s="399"/>
      <c r="AU187" s="399">
        <v>0</v>
      </c>
      <c r="AV187" s="399">
        <v>0</v>
      </c>
      <c r="AW187" s="399">
        <v>0</v>
      </c>
      <c r="AX187" s="399"/>
      <c r="AY187" s="399"/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/>
      <c r="BG187" s="399">
        <v>0</v>
      </c>
      <c r="BH187" s="399">
        <v>0</v>
      </c>
      <c r="BI187" s="399">
        <v>372.3</v>
      </c>
      <c r="BJ187" s="399">
        <v>1713.88</v>
      </c>
      <c r="BK187" s="399">
        <v>34503.24</v>
      </c>
      <c r="BL187" s="399">
        <v>12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0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36929.97</v>
      </c>
      <c r="CJ187" s="399">
        <v>-27607.170000000006</v>
      </c>
      <c r="CK187" s="399"/>
      <c r="CL187" s="399"/>
      <c r="CM187" s="399"/>
      <c r="CN187" s="399"/>
      <c r="CO187" s="399">
        <v>-27607.14</v>
      </c>
      <c r="CP187" s="399">
        <v>0</v>
      </c>
      <c r="CQ187" s="399">
        <v>31</v>
      </c>
      <c r="CR187" s="399">
        <v>-3031.4522360531155</v>
      </c>
      <c r="CS187" s="399">
        <v>0</v>
      </c>
      <c r="CT187" s="399">
        <v>0</v>
      </c>
      <c r="CU187" s="399">
        <v>0</v>
      </c>
      <c r="CV187" s="399">
        <v>0</v>
      </c>
      <c r="CW187" s="399"/>
      <c r="CX187" s="399"/>
      <c r="CY187" s="399"/>
      <c r="CZ187" s="399">
        <v>-3031.4522360531155</v>
      </c>
      <c r="DA187" s="399">
        <v>0</v>
      </c>
      <c r="DB187" s="399">
        <v>0</v>
      </c>
      <c r="DC187" s="399"/>
      <c r="DD187" s="399"/>
      <c r="DE187" s="399">
        <v>0</v>
      </c>
      <c r="DF187" s="399">
        <v>0</v>
      </c>
      <c r="DG187" s="399">
        <v>0</v>
      </c>
      <c r="DH187" s="399">
        <v>0</v>
      </c>
      <c r="DI187" s="399">
        <v>0</v>
      </c>
      <c r="DJ187" s="399"/>
      <c r="DK187" s="399">
        <v>0</v>
      </c>
      <c r="DL187" s="399">
        <v>0</v>
      </c>
      <c r="DM187" s="399"/>
      <c r="DN187" s="399">
        <v>0</v>
      </c>
      <c r="DO187" s="399">
        <v>0</v>
      </c>
      <c r="DP187" s="399">
        <v>0</v>
      </c>
      <c r="DQ187" s="399">
        <v>0</v>
      </c>
      <c r="DR187" s="399">
        <v>0</v>
      </c>
      <c r="DS187" s="399"/>
      <c r="DT187" s="399"/>
      <c r="DU187" s="399">
        <v>40280.498298523096</v>
      </c>
      <c r="DV187" s="399"/>
      <c r="DW187" s="399">
        <v>0</v>
      </c>
      <c r="DX187" s="399">
        <v>0</v>
      </c>
      <c r="DY187" s="399">
        <v>-27607.14</v>
      </c>
      <c r="DZ187" s="399"/>
      <c r="EA187" s="399">
        <v>0</v>
      </c>
      <c r="EB187" s="399"/>
      <c r="EC187" s="399">
        <v>-24573.781892186802</v>
      </c>
      <c r="ED187" s="399"/>
      <c r="EE187" s="399">
        <v>0</v>
      </c>
      <c r="EF187" s="399">
        <v>0</v>
      </c>
      <c r="EG187" s="399"/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/>
      <c r="EN187" s="399"/>
      <c r="EO187" s="399">
        <v>0</v>
      </c>
      <c r="EP187" s="399">
        <v>0</v>
      </c>
      <c r="EQ187" s="399"/>
      <c r="ER187" s="399">
        <v>0</v>
      </c>
      <c r="ES187" s="399"/>
      <c r="ET187" s="399">
        <v>0</v>
      </c>
      <c r="EU187" s="399"/>
      <c r="EV187" s="399">
        <v>227</v>
      </c>
      <c r="EW187" s="399"/>
      <c r="EX187" s="399"/>
      <c r="EY187" s="399"/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956</v>
      </c>
      <c r="C188" s="399" t="s">
        <v>2328</v>
      </c>
      <c r="D188" s="399" t="s">
        <v>1826</v>
      </c>
      <c r="E188" s="399" t="s">
        <v>918</v>
      </c>
      <c r="F188" s="399" t="s">
        <v>1239</v>
      </c>
      <c r="G188" s="399" t="s">
        <v>1239</v>
      </c>
      <c r="H188" s="399" t="s">
        <v>1239</v>
      </c>
      <c r="I188" s="399" t="s">
        <v>1239</v>
      </c>
      <c r="J188" s="399" t="s">
        <v>2329</v>
      </c>
      <c r="K188" s="789">
        <v>44774</v>
      </c>
      <c r="L188" s="399">
        <v>0</v>
      </c>
      <c r="M188" s="399">
        <v>0</v>
      </c>
      <c r="N188" s="399">
        <v>15.551</v>
      </c>
      <c r="O188" s="399">
        <v>15.551</v>
      </c>
      <c r="P188" s="399">
        <v>15.551</v>
      </c>
      <c r="Q188" s="399">
        <v>15.551</v>
      </c>
      <c r="R188" s="399"/>
      <c r="S188" s="399">
        <v>425.49</v>
      </c>
      <c r="T188" s="399">
        <v>205.96</v>
      </c>
      <c r="U188" s="399"/>
      <c r="V188" s="399">
        <v>9819.6789500000014</v>
      </c>
      <c r="W188" s="399">
        <v>9819.6789500000014</v>
      </c>
      <c r="X188" s="399">
        <v>7349.0915800000002</v>
      </c>
      <c r="Y188" s="399">
        <v>0</v>
      </c>
      <c r="Z188" s="399">
        <v>948.20828734955955</v>
      </c>
      <c r="AA188" s="399">
        <v>0</v>
      </c>
      <c r="AB188" s="399">
        <v>0</v>
      </c>
      <c r="AC188" s="399">
        <v>0</v>
      </c>
      <c r="AD188" s="399">
        <v>1260.5994505436292</v>
      </c>
      <c r="AE188" s="399">
        <v>3872.7963165052756</v>
      </c>
      <c r="AF188" s="399">
        <v>3124.7524184547383</v>
      </c>
      <c r="AG188" s="399">
        <v>78.195886483755729</v>
      </c>
      <c r="AH188" s="399">
        <v>0</v>
      </c>
      <c r="AI188" s="399">
        <v>0</v>
      </c>
      <c r="AJ188" s="399">
        <v>0</v>
      </c>
      <c r="AK188" s="399">
        <v>0</v>
      </c>
      <c r="AL188" s="399">
        <v>146.53972880625545</v>
      </c>
      <c r="AM188" s="399"/>
      <c r="AN188" s="399">
        <v>16.82545360237507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371.86275864179419</v>
      </c>
      <c r="BH188" s="399">
        <v>0</v>
      </c>
      <c r="BI188" s="399">
        <v>41.44</v>
      </c>
      <c r="BJ188" s="399">
        <v>190.63</v>
      </c>
      <c r="BK188" s="399">
        <v>1545.95</v>
      </c>
      <c r="BL188" s="399">
        <v>53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3496.6151770965325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7348.6190000000006</v>
      </c>
      <c r="CJ188" s="399">
        <v>-2471.0899500000014</v>
      </c>
      <c r="CK188" s="399"/>
      <c r="CL188" s="399"/>
      <c r="CM188" s="399"/>
      <c r="CN188" s="399"/>
      <c r="CO188" s="399">
        <v>-2643.2034699999999</v>
      </c>
      <c r="CP188" s="399">
        <v>172.6160999999999</v>
      </c>
      <c r="CQ188" s="399">
        <v>31</v>
      </c>
      <c r="CR188" s="399">
        <v>-108.05201914254303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-157.48898615660255</v>
      </c>
      <c r="DA188" s="399">
        <v>0</v>
      </c>
      <c r="DB188" s="399">
        <v>0</v>
      </c>
      <c r="DC188" s="399">
        <v>172.5713041062204</v>
      </c>
      <c r="DD188" s="399">
        <v>0</v>
      </c>
      <c r="DE188" s="399">
        <v>0</v>
      </c>
      <c r="DF188" s="399">
        <v>0</v>
      </c>
      <c r="DG188" s="399">
        <v>20.536936247605752</v>
      </c>
      <c r="DH188" s="399">
        <v>0</v>
      </c>
      <c r="DI188" s="399">
        <v>-124.25795832283347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-16.360947834836821</v>
      </c>
      <c r="DP188" s="399">
        <v>-3.0523671820968197</v>
      </c>
      <c r="DQ188" s="399">
        <v>0</v>
      </c>
      <c r="DR188" s="399">
        <v>0</v>
      </c>
      <c r="DS188" s="399"/>
      <c r="DT188" s="399"/>
      <c r="DU188" s="399"/>
      <c r="DV188" s="399">
        <v>3872.7963165052756</v>
      </c>
      <c r="DW188" s="399">
        <v>0</v>
      </c>
      <c r="DX188" s="399">
        <v>0</v>
      </c>
      <c r="DY188" s="399">
        <v>-2643.2034699999999</v>
      </c>
      <c r="DZ188" s="399">
        <v>172.61609999999973</v>
      </c>
      <c r="EA188" s="399">
        <v>0</v>
      </c>
      <c r="EB188" s="399">
        <v>0</v>
      </c>
      <c r="EC188" s="399">
        <v>-2362.6632245052051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227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956</v>
      </c>
      <c r="C189" s="399" t="s">
        <v>2328</v>
      </c>
      <c r="D189" s="399" t="s">
        <v>2335</v>
      </c>
      <c r="E189" s="399" t="s">
        <v>894</v>
      </c>
      <c r="F189" s="399" t="s">
        <v>1239</v>
      </c>
      <c r="G189" s="399" t="s">
        <v>1239</v>
      </c>
      <c r="H189" s="399" t="s">
        <v>1239</v>
      </c>
      <c r="I189" s="399" t="s">
        <v>1239</v>
      </c>
      <c r="J189" s="399" t="s">
        <v>2329</v>
      </c>
      <c r="K189" s="789">
        <v>44774</v>
      </c>
      <c r="L189" s="399">
        <v>0</v>
      </c>
      <c r="M189" s="399">
        <v>0</v>
      </c>
      <c r="N189" s="399">
        <v>69.745999999999995</v>
      </c>
      <c r="O189" s="399">
        <v>69.745999999999995</v>
      </c>
      <c r="P189" s="399">
        <v>69.745999999999995</v>
      </c>
      <c r="Q189" s="399">
        <v>69.745999999999995</v>
      </c>
      <c r="R189" s="399"/>
      <c r="S189" s="399">
        <v>425.49</v>
      </c>
      <c r="T189" s="399">
        <v>205.96</v>
      </c>
      <c r="U189" s="399"/>
      <c r="V189" s="399">
        <v>44041.111700000001</v>
      </c>
      <c r="W189" s="399">
        <v>44041.111700000001</v>
      </c>
      <c r="X189" s="399">
        <v>32960.564679999996</v>
      </c>
      <c r="Y189" s="399">
        <v>0</v>
      </c>
      <c r="Z189" s="399">
        <v>4252.6998398483938</v>
      </c>
      <c r="AA189" s="399">
        <v>0</v>
      </c>
      <c r="AB189" s="399">
        <v>0</v>
      </c>
      <c r="AC189" s="399">
        <v>0</v>
      </c>
      <c r="AD189" s="399">
        <v>5653.7694860533702</v>
      </c>
      <c r="AE189" s="399">
        <v>17369.432955499771</v>
      </c>
      <c r="AF189" s="399">
        <v>14014.467376859633</v>
      </c>
      <c r="AG189" s="399">
        <v>350.70736921715815</v>
      </c>
      <c r="AH189" s="399">
        <v>0</v>
      </c>
      <c r="AI189" s="399">
        <v>0</v>
      </c>
      <c r="AJ189" s="399">
        <v>0</v>
      </c>
      <c r="AK189" s="399">
        <v>0</v>
      </c>
      <c r="AL189" s="399">
        <v>657.22846925092222</v>
      </c>
      <c r="AM189" s="399"/>
      <c r="AN189" s="399">
        <v>75.461905147659422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1667.7988530789387</v>
      </c>
      <c r="BH189" s="399">
        <v>0</v>
      </c>
      <c r="BI189" s="399">
        <v>60.13</v>
      </c>
      <c r="BJ189" s="399">
        <v>277.05</v>
      </c>
      <c r="BK189" s="399">
        <v>4196.26</v>
      </c>
      <c r="BL189" s="399">
        <v>239</v>
      </c>
      <c r="BM189" s="399"/>
      <c r="BN189" s="399"/>
      <c r="BO189" s="399"/>
      <c r="BP189" s="399"/>
      <c r="BQ189" s="399"/>
      <c r="BR189" s="399">
        <v>3955.9931200000019</v>
      </c>
      <c r="BS189" s="399"/>
      <c r="BT189" s="399"/>
      <c r="BU189" s="399"/>
      <c r="BV189" s="399">
        <v>15682.266229938572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29006.235000000001</v>
      </c>
      <c r="CJ189" s="399">
        <v>-9750.2522799999933</v>
      </c>
      <c r="CK189" s="399"/>
      <c r="CL189" s="399"/>
      <c r="CM189" s="399"/>
      <c r="CN189" s="399"/>
      <c r="CO189" s="399">
        <v>-11854.72762</v>
      </c>
      <c r="CP189" s="399">
        <v>774.18059999999957</v>
      </c>
      <c r="CQ189" s="399">
        <v>31</v>
      </c>
      <c r="CR189" s="399">
        <v>-484.61167301882597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-706.3357230067777</v>
      </c>
      <c r="DA189" s="399">
        <v>0</v>
      </c>
      <c r="DB189" s="399">
        <v>0</v>
      </c>
      <c r="DC189" s="399">
        <v>773.97969109333462</v>
      </c>
      <c r="DD189" s="399">
        <v>0</v>
      </c>
      <c r="DE189" s="399">
        <v>0</v>
      </c>
      <c r="DF189" s="399">
        <v>0</v>
      </c>
      <c r="DG189" s="399">
        <v>92.107848725195254</v>
      </c>
      <c r="DH189" s="399">
        <v>0</v>
      </c>
      <c r="DI189" s="399">
        <v>-557.29506534527263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-73.378603799660937</v>
      </c>
      <c r="DP189" s="399">
        <v>-13.689820685648826</v>
      </c>
      <c r="DQ189" s="399">
        <v>0</v>
      </c>
      <c r="DR189" s="399">
        <v>0</v>
      </c>
      <c r="DS189" s="399"/>
      <c r="DT189" s="399"/>
      <c r="DU189" s="399"/>
      <c r="DV189" s="399">
        <v>17369.432955499771</v>
      </c>
      <c r="DW189" s="399">
        <v>0</v>
      </c>
      <c r="DX189" s="399">
        <v>0</v>
      </c>
      <c r="DY189" s="399">
        <v>-11854.727620000001</v>
      </c>
      <c r="DZ189" s="399">
        <v>774.18059999999969</v>
      </c>
      <c r="EA189" s="399">
        <v>0</v>
      </c>
      <c r="EB189" s="399">
        <v>0</v>
      </c>
      <c r="EC189" s="399">
        <v>-10596.50885835895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227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956</v>
      </c>
      <c r="C190" s="399" t="s">
        <v>2328</v>
      </c>
      <c r="D190" s="399" t="s">
        <v>1826</v>
      </c>
      <c r="E190" s="399" t="s">
        <v>2336</v>
      </c>
      <c r="F190" s="399" t="s">
        <v>1239</v>
      </c>
      <c r="G190" s="399" t="s">
        <v>1239</v>
      </c>
      <c r="H190" s="399" t="s">
        <v>1239</v>
      </c>
      <c r="I190" s="399" t="s">
        <v>1239</v>
      </c>
      <c r="J190" s="399" t="s">
        <v>2329</v>
      </c>
      <c r="K190" s="789">
        <v>44774</v>
      </c>
      <c r="L190" s="399">
        <v>0</v>
      </c>
      <c r="M190" s="399">
        <v>0</v>
      </c>
      <c r="N190" s="399">
        <v>3.07</v>
      </c>
      <c r="O190" s="399">
        <v>3.07</v>
      </c>
      <c r="P190" s="399">
        <v>3.07</v>
      </c>
      <c r="Q190" s="399">
        <v>3.07</v>
      </c>
      <c r="R190" s="399"/>
      <c r="S190" s="399">
        <v>425.49</v>
      </c>
      <c r="T190" s="399">
        <v>205.96</v>
      </c>
      <c r="U190" s="399"/>
      <c r="V190" s="399">
        <v>1938.5515</v>
      </c>
      <c r="W190" s="399">
        <v>1938.5515</v>
      </c>
      <c r="X190" s="399">
        <v>1450.8206</v>
      </c>
      <c r="Y190" s="399">
        <v>0</v>
      </c>
      <c r="Z190" s="399">
        <v>187.1904984993343</v>
      </c>
      <c r="AA190" s="399">
        <v>0</v>
      </c>
      <c r="AB190" s="399">
        <v>0</v>
      </c>
      <c r="AC190" s="399">
        <v>0</v>
      </c>
      <c r="AD190" s="399">
        <v>248.86118662265716</v>
      </c>
      <c r="AE190" s="399">
        <v>764.54791921234619</v>
      </c>
      <c r="AF190" s="399">
        <v>616.87286506694397</v>
      </c>
      <c r="AG190" s="399">
        <v>15.437037586337217</v>
      </c>
      <c r="AH190" s="399">
        <v>0</v>
      </c>
      <c r="AI190" s="399">
        <v>0</v>
      </c>
      <c r="AJ190" s="399">
        <v>0</v>
      </c>
      <c r="AK190" s="399">
        <v>0</v>
      </c>
      <c r="AL190" s="399">
        <v>28.929134295878349</v>
      </c>
      <c r="AM190" s="399"/>
      <c r="AN190" s="399">
        <v>3.3215962034140225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73.411270595479905</v>
      </c>
      <c r="BH190" s="399">
        <v>0</v>
      </c>
      <c r="BI190" s="399">
        <v>11.88</v>
      </c>
      <c r="BJ190" s="399">
        <v>54.82</v>
      </c>
      <c r="BK190" s="399">
        <v>310.83</v>
      </c>
      <c r="BL190" s="399">
        <v>13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690.28413566242386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1450.8206</v>
      </c>
      <c r="CJ190" s="399">
        <v>-487.76089999999999</v>
      </c>
      <c r="CK190" s="399"/>
      <c r="CL190" s="399"/>
      <c r="CM190" s="399"/>
      <c r="CN190" s="399"/>
      <c r="CO190" s="399">
        <v>-521.80790000000002</v>
      </c>
      <c r="CP190" s="399">
        <v>34.076999999999984</v>
      </c>
      <c r="CQ190" s="399">
        <v>31</v>
      </c>
      <c r="CR190" s="399">
        <v>-21.331084738447998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-31.090681467479243</v>
      </c>
      <c r="DA190" s="399">
        <v>0</v>
      </c>
      <c r="DB190" s="399">
        <v>0</v>
      </c>
      <c r="DC190" s="399">
        <v>34.068156620545096</v>
      </c>
      <c r="DD190" s="399">
        <v>0</v>
      </c>
      <c r="DE190" s="399">
        <v>0</v>
      </c>
      <c r="DF190" s="399">
        <v>0</v>
      </c>
      <c r="DG190" s="399">
        <v>4.0542983911098815</v>
      </c>
      <c r="DH190" s="399">
        <v>0</v>
      </c>
      <c r="DI190" s="399">
        <v>-24.530379528718328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-3.2298958171788961</v>
      </c>
      <c r="DP190" s="399">
        <v>-0.60258293672672103</v>
      </c>
      <c r="DQ190" s="399">
        <v>0</v>
      </c>
      <c r="DR190" s="399">
        <v>0</v>
      </c>
      <c r="DS190" s="399"/>
      <c r="DT190" s="399"/>
      <c r="DU190" s="399"/>
      <c r="DV190" s="399">
        <v>764.54791921234619</v>
      </c>
      <c r="DW190" s="399">
        <v>0</v>
      </c>
      <c r="DX190" s="399">
        <v>0</v>
      </c>
      <c r="DY190" s="399">
        <v>-521.80790000000002</v>
      </c>
      <c r="DZ190" s="399">
        <v>34.076999999999998</v>
      </c>
      <c r="EA190" s="399">
        <v>0</v>
      </c>
      <c r="EB190" s="399">
        <v>0</v>
      </c>
      <c r="EC190" s="399">
        <v>-466.42505943225376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227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956</v>
      </c>
      <c r="C191" s="399" t="s">
        <v>2328</v>
      </c>
      <c r="D191" s="399" t="s">
        <v>2337</v>
      </c>
      <c r="E191" s="399" t="s">
        <v>2338</v>
      </c>
      <c r="F191" s="399" t="s">
        <v>2339</v>
      </c>
      <c r="G191" s="399" t="s">
        <v>1239</v>
      </c>
      <c r="H191" s="399" t="s">
        <v>1239</v>
      </c>
      <c r="I191" s="399" t="s">
        <v>1239</v>
      </c>
      <c r="J191" s="399" t="s">
        <v>2329</v>
      </c>
      <c r="K191" s="789">
        <v>44774</v>
      </c>
      <c r="L191" s="399">
        <v>0</v>
      </c>
      <c r="M191" s="399">
        <v>0</v>
      </c>
      <c r="N191" s="399">
        <v>21.32</v>
      </c>
      <c r="O191" s="399">
        <v>21.32</v>
      </c>
      <c r="P191" s="399">
        <v>21.32</v>
      </c>
      <c r="Q191" s="399">
        <v>21.32</v>
      </c>
      <c r="R191" s="399"/>
      <c r="S191" s="399">
        <v>234.02</v>
      </c>
      <c r="T191" s="399">
        <v>113.28</v>
      </c>
      <c r="U191" s="399"/>
      <c r="V191" s="399">
        <v>7404.4360000000006</v>
      </c>
      <c r="W191" s="399">
        <v>7404.4360000000006</v>
      </c>
      <c r="X191" s="399">
        <v>5541.2811999999994</v>
      </c>
      <c r="Y191" s="399">
        <v>0</v>
      </c>
      <c r="Z191" s="399">
        <v>714.98234052221255</v>
      </c>
      <c r="AA191" s="399">
        <v>0</v>
      </c>
      <c r="AB191" s="399">
        <v>0</v>
      </c>
      <c r="AC191" s="399">
        <v>0</v>
      </c>
      <c r="AD191" s="399">
        <v>950.53624571246894</v>
      </c>
      <c r="AE191" s="399">
        <v>2920.2243976169202</v>
      </c>
      <c r="AF191" s="399">
        <v>2356.1730344543853</v>
      </c>
      <c r="AG191" s="399">
        <v>58.962443888400664</v>
      </c>
      <c r="AH191" s="399">
        <v>0</v>
      </c>
      <c r="AI191" s="399">
        <v>0</v>
      </c>
      <c r="AJ191" s="399">
        <v>0</v>
      </c>
      <c r="AK191" s="399">
        <v>0</v>
      </c>
      <c r="AL191" s="399">
        <v>110.49610057116271</v>
      </c>
      <c r="AM191" s="399"/>
      <c r="AN191" s="399">
        <v>12.686982762616578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280.39757622234549</v>
      </c>
      <c r="BH191" s="399">
        <v>0</v>
      </c>
      <c r="BI191" s="399">
        <v>45.39</v>
      </c>
      <c r="BJ191" s="399">
        <v>209.5</v>
      </c>
      <c r="BK191" s="399">
        <v>1187.17</v>
      </c>
      <c r="BL191" s="399">
        <v>2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2636.5706106767307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5541.2811999999994</v>
      </c>
      <c r="CJ191" s="399">
        <v>-1863.1848000000018</v>
      </c>
      <c r="CK191" s="399"/>
      <c r="CL191" s="399"/>
      <c r="CM191" s="399"/>
      <c r="CN191" s="399"/>
      <c r="CO191" s="399">
        <v>-1993.2068000000002</v>
      </c>
      <c r="CP191" s="399">
        <v>130.05199999999988</v>
      </c>
      <c r="CQ191" s="399">
        <v>31</v>
      </c>
      <c r="CR191" s="399">
        <v>-81.475016170355957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-118.75222504484145</v>
      </c>
      <c r="DA191" s="399">
        <v>0</v>
      </c>
      <c r="DB191" s="399">
        <v>0</v>
      </c>
      <c r="DC191" s="399">
        <v>130.12482232331195</v>
      </c>
      <c r="DD191" s="399">
        <v>0</v>
      </c>
      <c r="DE191" s="399">
        <v>0</v>
      </c>
      <c r="DF191" s="399">
        <v>0</v>
      </c>
      <c r="DG191" s="399">
        <v>15.485570988323218</v>
      </c>
      <c r="DH191" s="399">
        <v>0</v>
      </c>
      <c r="DI191" s="399">
        <v>-93.694863307409832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-12.336729104964178</v>
      </c>
      <c r="DP191" s="399">
        <v>-2.3015920247744521</v>
      </c>
      <c r="DQ191" s="399">
        <v>0</v>
      </c>
      <c r="DR191" s="399">
        <v>0</v>
      </c>
      <c r="DS191" s="399"/>
      <c r="DT191" s="399"/>
      <c r="DU191" s="399"/>
      <c r="DV191" s="399">
        <v>2920.2243976169202</v>
      </c>
      <c r="DW191" s="399">
        <v>0</v>
      </c>
      <c r="DX191" s="399">
        <v>0</v>
      </c>
      <c r="DY191" s="399">
        <v>-1993.2068000000004</v>
      </c>
      <c r="DZ191" s="399">
        <v>130.05199999999968</v>
      </c>
      <c r="EA191" s="399">
        <v>0</v>
      </c>
      <c r="EB191" s="399">
        <v>0</v>
      </c>
      <c r="EC191" s="399">
        <v>-1781.5310250497002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227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956</v>
      </c>
      <c r="C192" s="399" t="s">
        <v>2328</v>
      </c>
      <c r="D192" s="399" t="s">
        <v>2335</v>
      </c>
      <c r="E192" s="399" t="s">
        <v>894</v>
      </c>
      <c r="F192" s="399" t="s">
        <v>2342</v>
      </c>
      <c r="G192" s="399" t="s">
        <v>2340</v>
      </c>
      <c r="H192" s="399" t="s">
        <v>1239</v>
      </c>
      <c r="I192" s="399" t="s">
        <v>1239</v>
      </c>
      <c r="J192" s="399" t="s">
        <v>2329</v>
      </c>
      <c r="K192" s="789">
        <v>44774</v>
      </c>
      <c r="L192" s="399">
        <v>0</v>
      </c>
      <c r="M192" s="399">
        <v>0</v>
      </c>
      <c r="N192" s="399">
        <v>0</v>
      </c>
      <c r="O192" s="399">
        <v>0</v>
      </c>
      <c r="P192" s="399">
        <v>0</v>
      </c>
      <c r="Q192" s="399">
        <v>0</v>
      </c>
      <c r="R192" s="399"/>
      <c r="S192" s="399"/>
      <c r="T192" s="399"/>
      <c r="U192" s="399"/>
      <c r="V192" s="399"/>
      <c r="W192" s="399"/>
      <c r="X192" s="399"/>
      <c r="Y192" s="399"/>
      <c r="Z192" s="399"/>
      <c r="AA192" s="399">
        <v>0</v>
      </c>
      <c r="AB192" s="399"/>
      <c r="AC192" s="399"/>
      <c r="AD192" s="399"/>
      <c r="AE192" s="399"/>
      <c r="AF192" s="399"/>
      <c r="AG192" s="399"/>
      <c r="AH192" s="399"/>
      <c r="AI192" s="399"/>
      <c r="AJ192" s="399"/>
      <c r="AK192" s="399"/>
      <c r="AL192" s="399"/>
      <c r="AM192" s="399"/>
      <c r="AN192" s="399"/>
      <c r="AO192" s="399"/>
      <c r="AP192" s="399"/>
      <c r="AQ192" s="399"/>
      <c r="AR192" s="399"/>
      <c r="AS192" s="399"/>
      <c r="AT192" s="399"/>
      <c r="AU192" s="399"/>
      <c r="AV192" s="399"/>
      <c r="AW192" s="399"/>
      <c r="AX192" s="399"/>
      <c r="AY192" s="399"/>
      <c r="AZ192" s="399">
        <v>0</v>
      </c>
      <c r="BA192" s="399"/>
      <c r="BB192" s="399"/>
      <c r="BC192" s="399"/>
      <c r="BD192" s="399"/>
      <c r="BE192" s="399"/>
      <c r="BF192" s="399"/>
      <c r="BG192" s="399"/>
      <c r="BH192" s="399"/>
      <c r="BI192" s="399">
        <v>0.17</v>
      </c>
      <c r="BJ192" s="399">
        <v>0.78</v>
      </c>
      <c r="BK192" s="399">
        <v>13.6</v>
      </c>
      <c r="BL192" s="399">
        <v>1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/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/>
      <c r="CJ192" s="399">
        <v>-0.03</v>
      </c>
      <c r="CK192" s="399"/>
      <c r="CL192" s="399"/>
      <c r="CM192" s="399"/>
      <c r="CN192" s="399"/>
      <c r="CO192" s="399">
        <v>0</v>
      </c>
      <c r="CP192" s="399">
        <v>0</v>
      </c>
      <c r="CQ192" s="399">
        <v>31</v>
      </c>
      <c r="CR192" s="399"/>
      <c r="CS192" s="399"/>
      <c r="CT192" s="399"/>
      <c r="CU192" s="399"/>
      <c r="CV192" s="399"/>
      <c r="CW192" s="399"/>
      <c r="CX192" s="399"/>
      <c r="CY192" s="399"/>
      <c r="CZ192" s="399"/>
      <c r="DA192" s="399"/>
      <c r="DB192" s="399"/>
      <c r="DC192" s="399"/>
      <c r="DD192" s="399"/>
      <c r="DE192" s="399"/>
      <c r="DF192" s="399"/>
      <c r="DG192" s="399"/>
      <c r="DH192" s="399"/>
      <c r="DI192" s="399"/>
      <c r="DJ192" s="399"/>
      <c r="DK192" s="399">
        <v>0</v>
      </c>
      <c r="DL192" s="399"/>
      <c r="DM192" s="399"/>
      <c r="DN192" s="399"/>
      <c r="DO192" s="399"/>
      <c r="DP192" s="399"/>
      <c r="DQ192" s="399"/>
      <c r="DR192" s="399"/>
      <c r="DS192" s="399"/>
      <c r="DT192" s="399"/>
      <c r="DU192" s="399"/>
      <c r="DV192" s="399"/>
      <c r="DW192" s="399"/>
      <c r="DX192" s="399"/>
      <c r="DY192" s="399"/>
      <c r="DZ192" s="399"/>
      <c r="EA192" s="399"/>
      <c r="EB192" s="399"/>
      <c r="EC192" s="399"/>
      <c r="ED192" s="399"/>
      <c r="EE192" s="399"/>
      <c r="EF192" s="399"/>
      <c r="EG192" s="399"/>
      <c r="EH192" s="399"/>
      <c r="EI192" s="399"/>
      <c r="EJ192" s="399"/>
      <c r="EK192" s="399"/>
      <c r="EL192" s="399"/>
      <c r="EM192" s="399"/>
      <c r="EN192" s="399"/>
      <c r="EO192" s="399"/>
      <c r="EP192" s="399"/>
      <c r="EQ192" s="399"/>
      <c r="ER192" s="399"/>
      <c r="ES192" s="399"/>
      <c r="ET192" s="399"/>
      <c r="EU192" s="399"/>
      <c r="EV192" s="399">
        <v>227</v>
      </c>
      <c r="EW192" s="399"/>
      <c r="EX192" s="399"/>
      <c r="EY192" s="399"/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956</v>
      </c>
      <c r="C193" s="399" t="s">
        <v>2328</v>
      </c>
      <c r="D193" s="399" t="s">
        <v>2335</v>
      </c>
      <c r="E193" s="399" t="s">
        <v>894</v>
      </c>
      <c r="F193" s="399" t="s">
        <v>2342</v>
      </c>
      <c r="G193" s="399" t="s">
        <v>2340</v>
      </c>
      <c r="H193" s="399" t="s">
        <v>1239</v>
      </c>
      <c r="I193" s="399" t="s">
        <v>1239</v>
      </c>
      <c r="J193" s="399" t="s">
        <v>2329</v>
      </c>
      <c r="K193" s="789">
        <v>44774</v>
      </c>
      <c r="L193" s="399">
        <v>0</v>
      </c>
      <c r="M193" s="399">
        <v>0</v>
      </c>
      <c r="N193" s="399">
        <v>0.19</v>
      </c>
      <c r="O193" s="399">
        <v>0.19</v>
      </c>
      <c r="P193" s="399">
        <v>0.19</v>
      </c>
      <c r="Q193" s="399">
        <v>0.19</v>
      </c>
      <c r="R193" s="399"/>
      <c r="S193" s="399">
        <v>425.49</v>
      </c>
      <c r="T193" s="399">
        <v>205.96</v>
      </c>
      <c r="U193" s="399"/>
      <c r="V193" s="399">
        <v>119.97550000000001</v>
      </c>
      <c r="W193" s="399">
        <v>119.97550000000001</v>
      </c>
      <c r="X193" s="399">
        <v>89.790199999999999</v>
      </c>
      <c r="Y193" s="399">
        <v>0</v>
      </c>
      <c r="Z193" s="399">
        <v>11.585079711685186</v>
      </c>
      <c r="AA193" s="399">
        <v>0</v>
      </c>
      <c r="AB193" s="399">
        <v>0</v>
      </c>
      <c r="AC193" s="399">
        <v>0</v>
      </c>
      <c r="AD193" s="399">
        <v>15.401832396841975</v>
      </c>
      <c r="AE193" s="399">
        <v>47.317297931708723</v>
      </c>
      <c r="AF193" s="399">
        <v>38.17779946668383</v>
      </c>
      <c r="AG193" s="399">
        <v>0.9553866910110983</v>
      </c>
      <c r="AH193" s="399">
        <v>0</v>
      </c>
      <c r="AI193" s="399">
        <v>0</v>
      </c>
      <c r="AJ193" s="399">
        <v>0</v>
      </c>
      <c r="AK193" s="399">
        <v>0</v>
      </c>
      <c r="AL193" s="399">
        <v>1.7904024482791161</v>
      </c>
      <c r="AM193" s="399"/>
      <c r="AN193" s="399">
        <v>0.20557110053702421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4.5433685384824702</v>
      </c>
      <c r="BH193" s="399">
        <v>0</v>
      </c>
      <c r="BI193" s="399">
        <v>0</v>
      </c>
      <c r="BJ193" s="399">
        <v>0</v>
      </c>
      <c r="BK193" s="399">
        <v>0</v>
      </c>
      <c r="BL193" s="399">
        <v>0</v>
      </c>
      <c r="BM193" s="399"/>
      <c r="BN193" s="399"/>
      <c r="BO193" s="399"/>
      <c r="BP193" s="399"/>
      <c r="BQ193" s="399"/>
      <c r="BR193" s="399">
        <v>10.776800000000005</v>
      </c>
      <c r="BS193" s="399"/>
      <c r="BT193" s="399"/>
      <c r="BU193" s="399"/>
      <c r="BV193" s="399">
        <v>42.721168005166298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79.01339999999999</v>
      </c>
      <c r="CJ193" s="399">
        <v>-26.595800000000025</v>
      </c>
      <c r="CK193" s="399"/>
      <c r="CL193" s="399"/>
      <c r="CM193" s="399"/>
      <c r="CN193" s="399"/>
      <c r="CO193" s="399">
        <v>-32.2943</v>
      </c>
      <c r="CP193" s="399">
        <v>2.1089999999999991</v>
      </c>
      <c r="CQ193" s="399">
        <v>31</v>
      </c>
      <c r="CR193" s="399">
        <v>-1.3201648535195858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-1.9241789833293339</v>
      </c>
      <c r="DA193" s="399">
        <v>0</v>
      </c>
      <c r="DB193" s="399">
        <v>0</v>
      </c>
      <c r="DC193" s="399">
        <v>2.108452689870866</v>
      </c>
      <c r="DD193" s="399">
        <v>0</v>
      </c>
      <c r="DE193" s="399">
        <v>0</v>
      </c>
      <c r="DF193" s="399">
        <v>0</v>
      </c>
      <c r="DG193" s="399">
        <v>0.25091749000354291</v>
      </c>
      <c r="DH193" s="399">
        <v>0</v>
      </c>
      <c r="DI193" s="399">
        <v>-1.51816681122361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-0.19989583233354713</v>
      </c>
      <c r="DP193" s="399">
        <v>-3.7293406507516946E-2</v>
      </c>
      <c r="DQ193" s="399">
        <v>0</v>
      </c>
      <c r="DR193" s="399">
        <v>0</v>
      </c>
      <c r="DS193" s="399"/>
      <c r="DT193" s="399"/>
      <c r="DU193" s="399"/>
      <c r="DV193" s="399">
        <v>47.317297931708723</v>
      </c>
      <c r="DW193" s="399">
        <v>0</v>
      </c>
      <c r="DX193" s="399">
        <v>0</v>
      </c>
      <c r="DY193" s="399">
        <v>-32.294300000000007</v>
      </c>
      <c r="DZ193" s="399">
        <v>2.1089999999999947</v>
      </c>
      <c r="EA193" s="399">
        <v>0</v>
      </c>
      <c r="EB193" s="399">
        <v>0</v>
      </c>
      <c r="EC193" s="399">
        <v>-28.86669748929258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227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956</v>
      </c>
      <c r="C194" s="399" t="s">
        <v>2328</v>
      </c>
      <c r="D194" s="399" t="s">
        <v>2335</v>
      </c>
      <c r="E194" s="399" t="s">
        <v>894</v>
      </c>
      <c r="F194" s="399" t="s">
        <v>2342</v>
      </c>
      <c r="G194" s="399" t="s">
        <v>2341</v>
      </c>
      <c r="H194" s="399" t="s">
        <v>1239</v>
      </c>
      <c r="I194" s="399" t="s">
        <v>1239</v>
      </c>
      <c r="J194" s="399" t="s">
        <v>2329</v>
      </c>
      <c r="K194" s="789">
        <v>44774</v>
      </c>
      <c r="L194" s="399">
        <v>0</v>
      </c>
      <c r="M194" s="399">
        <v>0</v>
      </c>
      <c r="N194" s="399">
        <v>0.11899999999999999</v>
      </c>
      <c r="O194" s="399">
        <v>4.7600000000000003E-2</v>
      </c>
      <c r="P194" s="399">
        <v>0.11899999999999999</v>
      </c>
      <c r="Q194" s="399">
        <v>4.7600000000000003E-2</v>
      </c>
      <c r="R194" s="399"/>
      <c r="S194" s="399">
        <v>425.49</v>
      </c>
      <c r="T194" s="399">
        <v>205.96</v>
      </c>
      <c r="U194" s="399"/>
      <c r="V194" s="399">
        <v>75.14255</v>
      </c>
      <c r="W194" s="399">
        <v>75.14255</v>
      </c>
      <c r="X194" s="399">
        <v>56.237020000000001</v>
      </c>
      <c r="Y194" s="399">
        <v>0</v>
      </c>
      <c r="Z194" s="399">
        <v>7.2559183457396683</v>
      </c>
      <c r="AA194" s="399">
        <v>0</v>
      </c>
      <c r="AB194" s="399">
        <v>0</v>
      </c>
      <c r="AC194" s="399">
        <v>0</v>
      </c>
      <c r="AD194" s="399">
        <v>9.646410816969448</v>
      </c>
      <c r="AE194" s="399">
        <v>29.635570809859672</v>
      </c>
      <c r="AF194" s="399">
        <v>23.911358613344081</v>
      </c>
      <c r="AG194" s="399">
        <v>0.59837376963326672</v>
      </c>
      <c r="AH194" s="399">
        <v>0</v>
      </c>
      <c r="AI194" s="399">
        <v>0</v>
      </c>
      <c r="AJ194" s="399">
        <v>0</v>
      </c>
      <c r="AK194" s="399">
        <v>0</v>
      </c>
      <c r="AL194" s="399">
        <v>1.1213573228695517</v>
      </c>
      <c r="AM194" s="399"/>
      <c r="AN194" s="399">
        <v>0.12875242612582041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2.8455834530495467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/>
      <c r="BS194" s="399">
        <v>36.442084000000001</v>
      </c>
      <c r="BT194" s="399"/>
      <c r="BU194" s="399"/>
      <c r="BV194" s="399">
        <v>26.756942066393627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20.792999999999999</v>
      </c>
      <c r="CJ194" s="399">
        <v>-5.68736800000001</v>
      </c>
      <c r="CK194" s="399"/>
      <c r="CL194" s="399"/>
      <c r="CM194" s="399"/>
      <c r="CN194" s="399"/>
      <c r="CO194" s="399">
        <v>-20.226430000000001</v>
      </c>
      <c r="CP194" s="399">
        <v>1.3208999999999993</v>
      </c>
      <c r="CQ194" s="399">
        <v>31</v>
      </c>
      <c r="CR194" s="399">
        <v>-0.82684009246754187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-1.2051436790325845</v>
      </c>
      <c r="DA194" s="399">
        <v>0</v>
      </c>
      <c r="DB194" s="399">
        <v>0</v>
      </c>
      <c r="DC194" s="399">
        <v>1.3205572110243864</v>
      </c>
      <c r="DD194" s="399">
        <v>0</v>
      </c>
      <c r="DE194" s="399">
        <v>0</v>
      </c>
      <c r="DF194" s="399">
        <v>0</v>
      </c>
      <c r="DG194" s="399">
        <v>0.15715358584432426</v>
      </c>
      <c r="DH194" s="399">
        <v>0</v>
      </c>
      <c r="DI194" s="399">
        <v>-0.95085184492426045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-0.12519791604048491</v>
      </c>
      <c r="DP194" s="399">
        <v>-2.3357449338918493E-2</v>
      </c>
      <c r="DQ194" s="399">
        <v>0</v>
      </c>
      <c r="DR194" s="399">
        <v>0</v>
      </c>
      <c r="DS194" s="399"/>
      <c r="DT194" s="399"/>
      <c r="DU194" s="399"/>
      <c r="DV194" s="399">
        <v>29.635570809859672</v>
      </c>
      <c r="DW194" s="399">
        <v>0</v>
      </c>
      <c r="DX194" s="399">
        <v>0</v>
      </c>
      <c r="DY194" s="399">
        <v>-20.226430000000001</v>
      </c>
      <c r="DZ194" s="399">
        <v>1.3209000000000017</v>
      </c>
      <c r="EA194" s="399">
        <v>0</v>
      </c>
      <c r="EB194" s="399">
        <v>0</v>
      </c>
      <c r="EC194" s="399">
        <v>-18.079668427504298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227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K195" s="261"/>
      <c r="L195" s="261"/>
      <c r="M195" s="261"/>
      <c r="N195" s="261"/>
      <c r="O195" s="261"/>
      <c r="P195" s="261"/>
      <c r="Q195" s="261"/>
      <c r="BR195" s="261"/>
      <c r="BS195" s="261"/>
      <c r="BT195" s="261"/>
      <c r="BU195" s="261"/>
      <c r="BV195" s="261"/>
      <c r="CJ195" s="261"/>
      <c r="CO195" s="261"/>
      <c r="CP195" s="261"/>
      <c r="CQ195" s="261"/>
      <c r="CR195" s="261"/>
      <c r="CS195" s="261"/>
      <c r="CT195" s="261"/>
      <c r="CU195" s="261"/>
      <c r="CV195" s="261"/>
      <c r="CW195" s="261"/>
      <c r="CX195" s="261"/>
      <c r="CY195" s="261"/>
      <c r="CZ195" s="261"/>
      <c r="DA195" s="261"/>
      <c r="DB195" s="261"/>
      <c r="DC195" s="261"/>
      <c r="DD195" s="261"/>
      <c r="DE195" s="261"/>
      <c r="DF195" s="261"/>
      <c r="DG195" s="261"/>
      <c r="DH195" s="261"/>
      <c r="DI195" s="261"/>
      <c r="DJ195" s="261"/>
      <c r="DK195" s="261"/>
      <c r="DL195" s="261"/>
      <c r="DM195" s="261"/>
      <c r="DN195" s="261"/>
      <c r="DO195" s="261"/>
      <c r="DP195" s="261"/>
      <c r="DQ195" s="261"/>
      <c r="DR195" s="261"/>
      <c r="DS195" s="261"/>
      <c r="DY195" s="261"/>
      <c r="EC195" s="261"/>
      <c r="EP195" s="261"/>
    </row>
    <row r="196" spans="1:165">
      <c r="K196" s="261"/>
      <c r="L196" s="261"/>
      <c r="M196" s="261"/>
      <c r="N196" s="261"/>
      <c r="O196" s="261"/>
      <c r="P196" s="261"/>
      <c r="Q196" s="261"/>
      <c r="BR196" s="261"/>
      <c r="BS196" s="261"/>
      <c r="BT196" s="261"/>
      <c r="BU196" s="261"/>
      <c r="BV196" s="261"/>
      <c r="CJ196" s="261"/>
      <c r="CO196" s="261"/>
      <c r="CP196" s="261"/>
      <c r="CQ196" s="261"/>
      <c r="CR196" s="261"/>
      <c r="CS196" s="261"/>
      <c r="CT196" s="261"/>
      <c r="CU196" s="261"/>
      <c r="CV196" s="261"/>
      <c r="CW196" s="261"/>
      <c r="CX196" s="261"/>
      <c r="CY196" s="261"/>
      <c r="CZ196" s="261"/>
      <c r="DA196" s="261"/>
      <c r="DB196" s="261"/>
      <c r="DC196" s="261"/>
      <c r="DD196" s="261"/>
      <c r="DE196" s="261"/>
      <c r="DF196" s="261"/>
      <c r="DG196" s="261"/>
      <c r="DH196" s="261"/>
      <c r="DI196" s="261"/>
      <c r="DJ196" s="261"/>
      <c r="DK196" s="261"/>
      <c r="DL196" s="261"/>
      <c r="DM196" s="261"/>
      <c r="DN196" s="261"/>
      <c r="DO196" s="261"/>
      <c r="DP196" s="261"/>
      <c r="DQ196" s="261"/>
      <c r="DR196" s="261"/>
      <c r="DS196" s="261"/>
      <c r="DY196" s="261"/>
      <c r="EC196" s="261"/>
      <c r="EP196" s="261"/>
    </row>
    <row r="197" spans="1:165">
      <c r="K197" s="261"/>
      <c r="L197" s="261"/>
      <c r="M197" s="261"/>
      <c r="N197" s="261"/>
      <c r="O197" s="261"/>
      <c r="P197" s="261"/>
      <c r="Q197" s="261"/>
      <c r="BR197" s="261"/>
      <c r="BS197" s="261"/>
      <c r="BT197" s="261"/>
      <c r="BU197" s="261"/>
      <c r="BV197" s="261"/>
      <c r="CJ197" s="261"/>
      <c r="CO197" s="261"/>
      <c r="CP197" s="261"/>
      <c r="CQ197" s="261"/>
      <c r="CR197" s="261"/>
      <c r="CS197" s="261"/>
      <c r="CT197" s="261"/>
      <c r="CU197" s="261"/>
      <c r="CV197" s="261"/>
      <c r="CW197" s="261"/>
      <c r="CX197" s="261"/>
      <c r="CY197" s="261"/>
      <c r="CZ197" s="261"/>
      <c r="DA197" s="261"/>
      <c r="DB197" s="261"/>
      <c r="DC197" s="261"/>
      <c r="DD197" s="261"/>
      <c r="DE197" s="261"/>
      <c r="DF197" s="261"/>
      <c r="DG197" s="261"/>
      <c r="DH197" s="261"/>
      <c r="DI197" s="261"/>
      <c r="DJ197" s="261"/>
      <c r="DK197" s="261"/>
      <c r="DL197" s="261"/>
      <c r="DM197" s="261"/>
      <c r="DN197" s="261"/>
      <c r="DO197" s="261"/>
      <c r="DP197" s="261"/>
      <c r="DQ197" s="261"/>
      <c r="DR197" s="261"/>
      <c r="DS197" s="261"/>
      <c r="DY197" s="261"/>
      <c r="EC197" s="261"/>
      <c r="EP197" s="261"/>
    </row>
    <row r="198" spans="1:165">
      <c r="K198" s="261"/>
      <c r="L198" s="261"/>
      <c r="M198" s="261"/>
      <c r="N198" s="261"/>
      <c r="O198" s="261"/>
      <c r="P198" s="261"/>
      <c r="Q198" s="261"/>
      <c r="BR198" s="261"/>
      <c r="BS198" s="261"/>
      <c r="BT198" s="261"/>
      <c r="BU198" s="261"/>
      <c r="BV198" s="261"/>
      <c r="CJ198" s="261"/>
      <c r="CO198" s="261"/>
      <c r="CP198" s="261"/>
      <c r="CQ198" s="261"/>
      <c r="CR198" s="261"/>
      <c r="CS198" s="261"/>
      <c r="CT198" s="261"/>
      <c r="CU198" s="261"/>
      <c r="CV198" s="261"/>
      <c r="CW198" s="261"/>
      <c r="CX198" s="261"/>
      <c r="CY198" s="261"/>
      <c r="CZ198" s="261"/>
      <c r="DA198" s="261"/>
      <c r="DB198" s="261"/>
      <c r="DC198" s="261"/>
      <c r="DD198" s="261"/>
      <c r="DE198" s="261"/>
      <c r="DF198" s="261"/>
      <c r="DG198" s="261"/>
      <c r="DH198" s="261"/>
      <c r="DI198" s="261"/>
      <c r="DJ198" s="261"/>
      <c r="DK198" s="261"/>
      <c r="DL198" s="261"/>
      <c r="DM198" s="261"/>
      <c r="DN198" s="261"/>
      <c r="DO198" s="261"/>
      <c r="DP198" s="261"/>
      <c r="DQ198" s="261"/>
      <c r="DR198" s="261"/>
      <c r="DS198" s="261"/>
      <c r="DY198" s="261"/>
      <c r="EC198" s="261"/>
      <c r="EP198" s="261"/>
    </row>
    <row r="199" spans="1:165">
      <c r="K199" s="261"/>
      <c r="L199" s="261"/>
      <c r="M199" s="261"/>
      <c r="N199" s="261"/>
      <c r="O199" s="261"/>
      <c r="P199" s="261"/>
      <c r="Q199" s="261"/>
      <c r="BR199" s="261"/>
      <c r="BS199" s="261"/>
      <c r="BT199" s="261"/>
      <c r="BU199" s="261"/>
      <c r="BV199" s="261"/>
      <c r="CJ199" s="261"/>
      <c r="CO199" s="261"/>
      <c r="CP199" s="261"/>
      <c r="CQ199" s="261"/>
      <c r="CR199" s="261"/>
      <c r="CS199" s="261"/>
      <c r="CT199" s="261"/>
      <c r="CU199" s="261"/>
      <c r="CV199" s="261"/>
      <c r="CW199" s="261"/>
      <c r="CX199" s="261"/>
      <c r="CY199" s="261"/>
      <c r="CZ199" s="261"/>
      <c r="DA199" s="261"/>
      <c r="DB199" s="261"/>
      <c r="DC199" s="261"/>
      <c r="DD199" s="261"/>
      <c r="DE199" s="261"/>
      <c r="DF199" s="261"/>
      <c r="DG199" s="261"/>
      <c r="DH199" s="261"/>
      <c r="DI199" s="261"/>
      <c r="DJ199" s="261"/>
      <c r="DK199" s="261"/>
      <c r="DL199" s="261"/>
      <c r="DM199" s="261"/>
      <c r="DN199" s="261"/>
      <c r="DO199" s="261"/>
      <c r="DP199" s="261"/>
      <c r="DQ199" s="261"/>
      <c r="DR199" s="261"/>
      <c r="DS199" s="261"/>
      <c r="DY199" s="261"/>
      <c r="EC199" s="261"/>
      <c r="EP199" s="261"/>
    </row>
    <row r="200" spans="1:165">
      <c r="K200" s="261"/>
      <c r="L200" s="261"/>
      <c r="M200" s="261"/>
      <c r="N200" s="261"/>
      <c r="O200" s="261"/>
      <c r="P200" s="261"/>
      <c r="Q200" s="261"/>
      <c r="BR200" s="261"/>
      <c r="BS200" s="261"/>
      <c r="BT200" s="261"/>
      <c r="BU200" s="261"/>
      <c r="BV200" s="261"/>
      <c r="CJ200" s="261"/>
      <c r="CO200" s="261"/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261"/>
      <c r="DN200" s="261"/>
      <c r="DO200" s="261"/>
      <c r="DP200" s="261"/>
      <c r="DQ200" s="261"/>
      <c r="DR200" s="261"/>
      <c r="DS200" s="261"/>
      <c r="DY200" s="261"/>
      <c r="EC200" s="261"/>
      <c r="EP200" s="261"/>
    </row>
    <row r="201" spans="1:165">
      <c r="K201" s="261"/>
      <c r="L201" s="261"/>
      <c r="M201" s="261"/>
      <c r="N201" s="261"/>
      <c r="O201" s="261"/>
      <c r="P201" s="261"/>
      <c r="Q201" s="261"/>
      <c r="BR201" s="261"/>
      <c r="BS201" s="261"/>
      <c r="BT201" s="261"/>
      <c r="BU201" s="261"/>
      <c r="BV201" s="261"/>
      <c r="CJ201" s="261"/>
      <c r="CO201" s="261"/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261"/>
      <c r="DN201" s="261"/>
      <c r="DO201" s="261"/>
      <c r="DP201" s="261"/>
      <c r="DQ201" s="261"/>
      <c r="DR201" s="261"/>
      <c r="DS201" s="261"/>
      <c r="DY201" s="261"/>
      <c r="EC201" s="261"/>
      <c r="EP201" s="261"/>
    </row>
    <row r="202" spans="1:165">
      <c r="K202" s="261"/>
      <c r="L202" s="261"/>
      <c r="M202" s="261"/>
      <c r="N202" s="261"/>
      <c r="O202" s="261"/>
      <c r="P202" s="261"/>
      <c r="Q202" s="261"/>
      <c r="BR202" s="261"/>
      <c r="BS202" s="261"/>
      <c r="BT202" s="261"/>
      <c r="BU202" s="261"/>
      <c r="BV202" s="261"/>
      <c r="CJ202" s="261"/>
      <c r="CO202" s="261"/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261"/>
      <c r="DN202" s="261"/>
      <c r="DO202" s="261"/>
      <c r="DP202" s="261"/>
      <c r="DQ202" s="261"/>
      <c r="DR202" s="261"/>
      <c r="DS202" s="261"/>
      <c r="DY202" s="261"/>
      <c r="EC202" s="261"/>
      <c r="EP202" s="261"/>
    </row>
    <row r="203" spans="1:165">
      <c r="K203" s="261"/>
      <c r="L203" s="261"/>
      <c r="M203" s="261"/>
      <c r="N203" s="261"/>
      <c r="O203" s="261"/>
      <c r="P203" s="261"/>
      <c r="Q203" s="261"/>
      <c r="BR203" s="261"/>
      <c r="BS203" s="261"/>
      <c r="BT203" s="261"/>
      <c r="BU203" s="261"/>
      <c r="BV203" s="261"/>
      <c r="CJ203" s="261"/>
      <c r="CO203" s="261"/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261"/>
      <c r="DN203" s="261"/>
      <c r="DO203" s="261"/>
      <c r="DP203" s="261"/>
      <c r="DQ203" s="261"/>
      <c r="DR203" s="261"/>
      <c r="DS203" s="261"/>
      <c r="DY203" s="261"/>
      <c r="EC203" s="261"/>
      <c r="EP203" s="261"/>
    </row>
    <row r="204" spans="1:165">
      <c r="K204" s="261"/>
      <c r="L204" s="261"/>
      <c r="M204" s="261"/>
      <c r="N204" s="261"/>
      <c r="O204" s="261"/>
      <c r="P204" s="261"/>
      <c r="Q204" s="261"/>
      <c r="BR204" s="261"/>
      <c r="BS204" s="261"/>
      <c r="BT204" s="261"/>
      <c r="BU204" s="261"/>
      <c r="BV204" s="261"/>
      <c r="CJ204" s="261"/>
      <c r="CO204" s="261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261"/>
      <c r="DN204" s="261"/>
      <c r="DO204" s="261"/>
      <c r="DP204" s="261"/>
      <c r="DQ204" s="261"/>
      <c r="DR204" s="261"/>
      <c r="DS204" s="261"/>
      <c r="DY204" s="261"/>
      <c r="EC204" s="261"/>
      <c r="EP204" s="261"/>
    </row>
    <row r="205" spans="1:165">
      <c r="K205" s="261"/>
      <c r="L205" s="261"/>
      <c r="M205" s="261"/>
      <c r="N205" s="261"/>
      <c r="O205" s="261"/>
      <c r="P205" s="261"/>
      <c r="Q205" s="261"/>
      <c r="BR205" s="261"/>
      <c r="BS205" s="261"/>
      <c r="BT205" s="261"/>
      <c r="BU205" s="261"/>
      <c r="BV205" s="261"/>
      <c r="CJ205" s="261"/>
      <c r="CO205" s="261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261"/>
      <c r="DN205" s="261"/>
      <c r="DO205" s="261"/>
      <c r="DP205" s="261"/>
      <c r="DQ205" s="261"/>
      <c r="DR205" s="261"/>
      <c r="DS205" s="261"/>
      <c r="DY205" s="261"/>
      <c r="EC205" s="261"/>
      <c r="EP205" s="261"/>
    </row>
    <row r="206" spans="1:165">
      <c r="K206" s="261"/>
      <c r="L206" s="261"/>
      <c r="M206" s="261"/>
      <c r="N206" s="261"/>
      <c r="O206" s="261"/>
      <c r="P206" s="261"/>
      <c r="Q206" s="261"/>
      <c r="BR206" s="261"/>
      <c r="BS206" s="261"/>
      <c r="BT206" s="261"/>
      <c r="BU206" s="261"/>
      <c r="BV206" s="261"/>
      <c r="CJ206" s="261"/>
      <c r="CO206" s="261"/>
      <c r="CP206" s="261"/>
      <c r="CQ206" s="261"/>
      <c r="CR206" s="261"/>
      <c r="CS206" s="261"/>
      <c r="CT206" s="261"/>
      <c r="CU206" s="261"/>
      <c r="CV206" s="261"/>
      <c r="CW206" s="261"/>
      <c r="CX206" s="261"/>
      <c r="CY206" s="261"/>
      <c r="CZ206" s="261"/>
      <c r="DA206" s="261"/>
      <c r="DB206" s="261"/>
      <c r="DC206" s="261"/>
      <c r="DD206" s="261"/>
      <c r="DE206" s="261"/>
      <c r="DF206" s="261"/>
      <c r="DG206" s="261"/>
      <c r="DH206" s="261"/>
      <c r="DI206" s="261"/>
      <c r="DJ206" s="261"/>
      <c r="DK206" s="261"/>
      <c r="DL206" s="261"/>
      <c r="DM206" s="261"/>
      <c r="DN206" s="261"/>
      <c r="DO206" s="261"/>
      <c r="DP206" s="261"/>
      <c r="DQ206" s="261"/>
      <c r="DR206" s="261"/>
      <c r="DS206" s="261"/>
      <c r="DY206" s="261"/>
      <c r="EC206" s="261"/>
      <c r="EP206" s="261"/>
    </row>
    <row r="207" spans="1:165">
      <c r="K207" s="261"/>
      <c r="L207" s="261"/>
      <c r="M207" s="261"/>
      <c r="N207" s="261"/>
      <c r="O207" s="261"/>
      <c r="P207" s="261"/>
      <c r="Q207" s="261"/>
      <c r="BR207" s="261"/>
      <c r="BS207" s="261"/>
      <c r="BT207" s="261"/>
      <c r="BU207" s="261"/>
      <c r="BV207" s="261"/>
      <c r="CJ207" s="261"/>
      <c r="CO207" s="261"/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261"/>
      <c r="DN207" s="261"/>
      <c r="DO207" s="261"/>
      <c r="DP207" s="261"/>
      <c r="DQ207" s="261"/>
      <c r="DR207" s="261"/>
      <c r="DS207" s="261"/>
      <c r="DY207" s="261"/>
      <c r="EC207" s="261"/>
      <c r="EP207" s="261"/>
    </row>
    <row r="208" spans="1:165">
      <c r="K208" s="261"/>
      <c r="L208" s="261"/>
      <c r="M208" s="261"/>
      <c r="N208" s="261"/>
      <c r="O208" s="261"/>
      <c r="P208" s="261"/>
      <c r="Q208" s="261"/>
      <c r="BR208" s="261"/>
      <c r="BS208" s="261"/>
      <c r="BT208" s="261"/>
      <c r="BU208" s="261"/>
      <c r="BV208" s="261"/>
      <c r="CJ208" s="261"/>
      <c r="CO208" s="261"/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261"/>
      <c r="DN208" s="261"/>
      <c r="DO208" s="261"/>
      <c r="DP208" s="261"/>
      <c r="DQ208" s="261"/>
      <c r="DR208" s="261"/>
      <c r="DS208" s="261"/>
      <c r="DY208" s="261"/>
      <c r="EC208" s="261"/>
      <c r="EP208" s="261"/>
    </row>
    <row r="209" s="261" customFormat="1"/>
    <row r="210" s="261" customFormat="1"/>
    <row r="211" s="261" customFormat="1"/>
    <row r="212" s="261" customFormat="1"/>
    <row r="213" s="261" customFormat="1"/>
    <row r="214" s="261" customFormat="1"/>
    <row r="215" s="261" customFormat="1"/>
    <row r="216" s="261" customFormat="1"/>
    <row r="217" s="261" customFormat="1"/>
    <row r="218" s="261" customFormat="1"/>
    <row r="219" s="261" customFormat="1"/>
    <row r="220" s="261" customFormat="1"/>
    <row r="221" s="261" customFormat="1"/>
    <row r="222" s="261" customFormat="1"/>
    <row r="223" s="261" customFormat="1"/>
    <row r="224" s="261" customFormat="1"/>
    <row r="225" s="261" customFormat="1"/>
    <row r="226" s="261" customFormat="1"/>
    <row r="227" s="261" customFormat="1"/>
    <row r="228" s="261" customFormat="1"/>
    <row r="229" s="261" customFormat="1"/>
    <row r="230" s="261" customFormat="1"/>
    <row r="231" s="261" customFormat="1"/>
    <row r="232" s="261" customFormat="1"/>
    <row r="233" s="261" customFormat="1"/>
    <row r="234" s="261" customFormat="1"/>
    <row r="235" s="261" customFormat="1"/>
    <row r="236" s="261" customFormat="1"/>
    <row r="237" s="261" customFormat="1"/>
    <row r="238" s="261" customFormat="1"/>
    <row r="239" s="261" customFormat="1"/>
    <row r="240" s="261" customFormat="1"/>
    <row r="241" s="261" customFormat="1"/>
    <row r="242" s="261" customFormat="1"/>
    <row r="243" s="261" customFormat="1"/>
    <row r="244" s="261" customFormat="1"/>
    <row r="245" s="261" customFormat="1"/>
    <row r="246" s="261" customFormat="1"/>
    <row r="247" s="261" customFormat="1"/>
    <row r="248" s="261" customFormat="1"/>
    <row r="249" s="261" customFormat="1"/>
    <row r="250" s="261" customFormat="1"/>
    <row r="251" s="261" customFormat="1"/>
    <row r="252" s="261" customFormat="1"/>
    <row r="253" s="261" customFormat="1"/>
    <row r="254" s="261" customFormat="1"/>
    <row r="255" s="261" customFormat="1"/>
    <row r="256" s="261" customFormat="1"/>
    <row r="257" s="261" customFormat="1"/>
    <row r="258" s="261" customFormat="1"/>
    <row r="259" s="261" customFormat="1"/>
    <row r="260" s="261" customFormat="1"/>
    <row r="261" s="261" customFormat="1"/>
    <row r="262" s="261" customFormat="1"/>
    <row r="263" s="261" customFormat="1"/>
    <row r="264" s="261" customFormat="1"/>
    <row r="265" s="261" customFormat="1"/>
    <row r="266" s="261" customFormat="1"/>
    <row r="267" s="261" customFormat="1"/>
    <row r="268" s="261" customFormat="1"/>
    <row r="269" s="261" customFormat="1"/>
    <row r="270" s="261" customFormat="1"/>
    <row r="271" s="261" customFormat="1"/>
    <row r="272" s="261" customFormat="1"/>
    <row r="273" s="261" customFormat="1"/>
    <row r="274" s="261" customFormat="1"/>
    <row r="275" s="261" customFormat="1"/>
    <row r="276" s="261" customFormat="1"/>
    <row r="277" s="261" customFormat="1"/>
    <row r="278" s="261" customFormat="1"/>
    <row r="279" s="261" customFormat="1"/>
    <row r="280" s="261" customFormat="1"/>
    <row r="281" s="261" customFormat="1"/>
    <row r="282" s="261" customFormat="1"/>
    <row r="283" s="261" customFormat="1"/>
    <row r="284" s="261" customFormat="1"/>
    <row r="285" s="261" customFormat="1"/>
    <row r="286" s="261" customFormat="1"/>
    <row r="287" s="261" customFormat="1"/>
    <row r="288" s="261" customFormat="1"/>
    <row r="289" s="261" customFormat="1"/>
    <row r="290" s="261" customFormat="1"/>
    <row r="291" s="261" customFormat="1"/>
    <row r="292" s="261" customFormat="1"/>
    <row r="293" s="261" customFormat="1"/>
    <row r="294" s="261" customFormat="1"/>
    <row r="295" s="261" customFormat="1"/>
    <row r="296" s="261" customFormat="1"/>
    <row r="297" s="261" customFormat="1"/>
    <row r="298" s="261" customFormat="1"/>
    <row r="299" s="261" customFormat="1"/>
    <row r="300" s="261" customFormat="1"/>
    <row r="301" s="261" customFormat="1"/>
    <row r="302" s="261" customFormat="1"/>
    <row r="303" s="261" customFormat="1"/>
    <row r="304" s="261" customFormat="1"/>
    <row r="305" s="261" customFormat="1"/>
    <row r="306" s="261" customFormat="1"/>
    <row r="307" s="261" customFormat="1"/>
    <row r="308" s="261" customFormat="1"/>
    <row r="309" s="261" customFormat="1"/>
    <row r="310" s="261" customFormat="1"/>
    <row r="311" s="261" customFormat="1"/>
    <row r="312" s="261" customFormat="1"/>
    <row r="313" s="261" customFormat="1"/>
    <row r="314" s="261" customFormat="1"/>
    <row r="315" s="261" customFormat="1"/>
    <row r="316" s="261" customFormat="1"/>
    <row r="317" s="261" customFormat="1"/>
    <row r="318" s="261" customFormat="1"/>
    <row r="319" s="261" customFormat="1"/>
    <row r="320" s="261" customFormat="1"/>
    <row r="321" s="261" customFormat="1"/>
    <row r="322" s="261" customFormat="1"/>
    <row r="323" s="261" customFormat="1"/>
    <row r="324" s="261" customFormat="1"/>
    <row r="325" s="261" customFormat="1"/>
    <row r="326" s="261" customFormat="1"/>
    <row r="327" s="261" customFormat="1"/>
    <row r="328" s="261" customFormat="1"/>
    <row r="329" s="261" customFormat="1"/>
    <row r="330" s="261" customFormat="1"/>
    <row r="331" s="261" customFormat="1"/>
    <row r="332" s="261" customFormat="1"/>
    <row r="333" s="261" customFormat="1"/>
    <row r="334" s="261" customFormat="1"/>
    <row r="335" s="261" customFormat="1"/>
    <row r="336" s="261" customFormat="1"/>
    <row r="337" s="261" customFormat="1"/>
    <row r="338" s="261" customFormat="1"/>
    <row r="339" s="261" customFormat="1"/>
    <row r="340" s="261" customFormat="1"/>
    <row r="341" s="261" customFormat="1"/>
    <row r="342" s="261" customFormat="1"/>
    <row r="343" s="261" customFormat="1"/>
    <row r="344" s="261" customFormat="1"/>
    <row r="345" s="261" customFormat="1"/>
    <row r="346" s="261" customFormat="1"/>
    <row r="347" s="261" customFormat="1"/>
    <row r="348" s="261" customFormat="1"/>
    <row r="349" s="261" customFormat="1"/>
    <row r="350" s="261" customFormat="1"/>
    <row r="351" s="261" customFormat="1"/>
    <row r="352" s="261" customFormat="1"/>
    <row r="353" s="261" customFormat="1"/>
    <row r="354" s="261" customFormat="1"/>
    <row r="355" s="261" customFormat="1"/>
    <row r="356" s="261" customFormat="1"/>
    <row r="357" s="261" customFormat="1"/>
    <row r="358" s="261" customFormat="1"/>
    <row r="359" s="261" customFormat="1"/>
    <row r="360" s="261" customFormat="1"/>
    <row r="361" s="261" customFormat="1"/>
    <row r="362" s="261" customFormat="1"/>
    <row r="363" s="261" customFormat="1"/>
    <row r="364" s="261" customFormat="1"/>
    <row r="365" s="261" customFormat="1"/>
    <row r="366" s="261" customFormat="1"/>
    <row r="367" s="261" customFormat="1"/>
    <row r="368" s="261" customFormat="1"/>
    <row r="369" s="261" customFormat="1"/>
    <row r="370" s="261" customFormat="1"/>
    <row r="371" s="261" customFormat="1"/>
    <row r="372" s="261" customFormat="1"/>
    <row r="373" s="261" customFormat="1"/>
    <row r="374" s="261" customFormat="1"/>
    <row r="375" s="261" customFormat="1"/>
    <row r="376" s="261" customFormat="1"/>
    <row r="377" s="261" customFormat="1"/>
    <row r="378" s="261" customFormat="1"/>
    <row r="379" s="261" customFormat="1"/>
    <row r="380" s="261" customFormat="1"/>
    <row r="381" s="261" customFormat="1"/>
    <row r="382" s="261" customFormat="1"/>
    <row r="383" s="261" customFormat="1"/>
    <row r="384" s="261" customFormat="1"/>
    <row r="385" s="261" customFormat="1"/>
    <row r="386" s="261" customFormat="1"/>
    <row r="387" s="261" customFormat="1"/>
    <row r="388" s="261" customFormat="1"/>
    <row r="389" s="261" customFormat="1"/>
    <row r="390" s="261" customFormat="1"/>
    <row r="391" s="261" customFormat="1"/>
    <row r="392" s="261" customFormat="1"/>
    <row r="393" s="261" customFormat="1"/>
    <row r="394" s="261" customFormat="1"/>
    <row r="395" s="261" customFormat="1"/>
    <row r="396" s="261" customFormat="1"/>
    <row r="397" s="261" customFormat="1"/>
    <row r="398" s="261" customFormat="1"/>
    <row r="399" s="261" customFormat="1"/>
    <row r="400" s="261" customFormat="1"/>
    <row r="401" s="261" customFormat="1"/>
    <row r="402" s="261" customFormat="1"/>
    <row r="403" s="261" customFormat="1"/>
    <row r="404" s="261" customFormat="1"/>
    <row r="405" s="261" customFormat="1"/>
    <row r="406" s="261" customFormat="1"/>
    <row r="407" s="261" customFormat="1"/>
    <row r="408" s="261" customFormat="1"/>
    <row r="409" s="261" customFormat="1"/>
    <row r="410" s="261" customFormat="1"/>
    <row r="411" s="261" customFormat="1"/>
    <row r="412" s="261" customFormat="1"/>
    <row r="413" s="261" customFormat="1"/>
    <row r="414" s="261" customFormat="1"/>
    <row r="415" s="261" customFormat="1"/>
    <row r="416" s="261" customFormat="1"/>
    <row r="417" s="261" customFormat="1"/>
    <row r="418" s="261" customFormat="1"/>
    <row r="419" s="261" customFormat="1"/>
    <row r="420" s="261" customFormat="1"/>
    <row r="421" s="261" customFormat="1"/>
    <row r="422" s="261" customFormat="1"/>
    <row r="423" s="261" customFormat="1"/>
    <row r="424" s="261" customFormat="1"/>
    <row r="425" s="261" customFormat="1"/>
    <row r="426" s="261" customFormat="1"/>
    <row r="427" s="261" customFormat="1"/>
    <row r="428" s="261" customFormat="1"/>
    <row r="429" s="261" customFormat="1"/>
    <row r="430" s="261" customFormat="1"/>
    <row r="431" s="261" customFormat="1"/>
    <row r="432" s="261" customFormat="1"/>
    <row r="433" s="261" customFormat="1"/>
    <row r="434" s="261" customFormat="1"/>
    <row r="435" s="261" customFormat="1"/>
    <row r="436" s="261" customFormat="1"/>
    <row r="437" s="261" customFormat="1"/>
    <row r="438" s="261" customFormat="1"/>
    <row r="439" s="261" customFormat="1"/>
    <row r="440" s="261" customFormat="1"/>
    <row r="441" s="261" customFormat="1"/>
    <row r="442" s="261" customFormat="1"/>
    <row r="443" s="261" customFormat="1"/>
    <row r="444" s="261" customFormat="1"/>
    <row r="445" s="261" customFormat="1"/>
    <row r="446" s="261" customFormat="1"/>
    <row r="447" s="261" customFormat="1"/>
    <row r="448" s="261" customFormat="1"/>
    <row r="449" s="261" customFormat="1"/>
    <row r="450" s="261" customFormat="1"/>
    <row r="451" s="261" customFormat="1"/>
    <row r="452" s="261" customFormat="1"/>
    <row r="453" s="261" customFormat="1"/>
    <row r="454" s="261" customFormat="1"/>
    <row r="455" s="261" customFormat="1"/>
    <row r="456" s="261" customFormat="1"/>
    <row r="457" s="261" customFormat="1"/>
    <row r="458" s="261" customFormat="1"/>
    <row r="459" s="261" customFormat="1"/>
    <row r="460" s="261" customFormat="1"/>
    <row r="461" s="261" customFormat="1"/>
    <row r="462" s="261" customFormat="1"/>
    <row r="463" s="261" customFormat="1"/>
    <row r="464" s="261" customFormat="1"/>
    <row r="465" s="261" customFormat="1"/>
    <row r="466" s="261" customFormat="1"/>
    <row r="467" s="261" customFormat="1"/>
    <row r="468" s="261" customFormat="1"/>
    <row r="469" s="261" customFormat="1"/>
    <row r="470" s="261" customFormat="1"/>
    <row r="471" s="261" customFormat="1"/>
    <row r="472" s="261" customFormat="1"/>
    <row r="473" s="261" customFormat="1"/>
    <row r="474" s="261" customFormat="1"/>
    <row r="475" s="261" customFormat="1"/>
    <row r="476" s="261" customFormat="1"/>
    <row r="477" s="261" customFormat="1"/>
    <row r="478" s="261" customFormat="1"/>
    <row r="479" s="261" customFormat="1"/>
    <row r="480" s="261" customFormat="1"/>
    <row r="481" s="261" customFormat="1"/>
    <row r="482" s="261" customFormat="1"/>
    <row r="483" s="261" customFormat="1"/>
    <row r="484" s="261" customFormat="1"/>
    <row r="485" s="261" customFormat="1"/>
    <row r="486" s="261" customFormat="1"/>
    <row r="487" s="261" customFormat="1"/>
    <row r="488" s="261" customFormat="1"/>
    <row r="489" s="261" customFormat="1"/>
    <row r="490" s="261" customFormat="1"/>
    <row r="491" s="261" customFormat="1"/>
    <row r="492" s="261" customFormat="1"/>
    <row r="493" s="261" customFormat="1"/>
    <row r="494" s="261" customFormat="1"/>
    <row r="495" s="261" customFormat="1"/>
    <row r="496" s="261" customFormat="1"/>
    <row r="497" s="261" customFormat="1"/>
    <row r="498" s="261" customFormat="1"/>
    <row r="499" s="261" customFormat="1"/>
    <row r="500" s="261" customFormat="1"/>
    <row r="501" s="261" customFormat="1"/>
    <row r="502" s="261" customFormat="1"/>
    <row r="503" s="261" customFormat="1"/>
    <row r="504" s="261" customFormat="1"/>
    <row r="505" s="261" customFormat="1"/>
    <row r="506" s="261" customFormat="1"/>
    <row r="507" s="261" customFormat="1"/>
    <row r="508" s="261" customFormat="1"/>
    <row r="509" s="261" customFormat="1"/>
    <row r="510" s="261" customFormat="1"/>
    <row r="511" s="261" customFormat="1"/>
    <row r="512" s="261" customFormat="1"/>
    <row r="513" s="261" customFormat="1"/>
    <row r="514" s="261" customFormat="1"/>
    <row r="515" s="261" customFormat="1"/>
    <row r="516" s="261" customFormat="1"/>
    <row r="517" s="261" customFormat="1"/>
    <row r="518" s="261" customFormat="1"/>
    <row r="519" s="261" customFormat="1"/>
    <row r="520" s="261" customFormat="1"/>
    <row r="521" s="261" customFormat="1"/>
    <row r="522" s="261" customFormat="1"/>
    <row r="523" s="261" customFormat="1"/>
    <row r="524" s="261" customFormat="1"/>
    <row r="525" s="261" customFormat="1"/>
    <row r="526" s="261" customFormat="1"/>
    <row r="527" s="261" customFormat="1"/>
    <row r="528" s="261" customFormat="1"/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D48" zoomScaleNormal="100" workbookViewId="0">
      <selection activeCell="I68" sqref="I6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2" t="s">
        <v>1080</v>
      </c>
      <c r="C1" s="1021"/>
      <c r="D1" s="933"/>
      <c r="E1" s="933"/>
      <c r="F1" s="1131" t="s">
        <v>873</v>
      </c>
      <c r="G1" s="1132">
        <f ca="1">LnkTXTIRTEco</f>
        <v>0.1164</v>
      </c>
    </row>
    <row r="2" spans="2:19" ht="23.25" customHeight="1">
      <c r="B2" s="136" t="str">
        <f>CAPA!C9</f>
        <v>Cersad</v>
      </c>
      <c r="C2" s="70"/>
      <c r="D2" s="70"/>
      <c r="E2" s="70"/>
      <c r="F2" s="120" t="s">
        <v>877</v>
      </c>
      <c r="G2" s="121">
        <f ca="1">LnkTXTIRTTotal</f>
        <v>-0.14729999999999999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9" t="s">
        <v>778</v>
      </c>
      <c r="C4" s="1179" t="s">
        <v>695</v>
      </c>
      <c r="D4" s="1179" t="s">
        <v>696</v>
      </c>
      <c r="G4" s="68"/>
      <c r="H4" s="124"/>
      <c r="K4" s="1179" t="s">
        <v>895</v>
      </c>
      <c r="L4" s="1179" t="s">
        <v>695</v>
      </c>
      <c r="M4" s="1179" t="s">
        <v>898</v>
      </c>
      <c r="P4" s="68" t="s">
        <v>1083</v>
      </c>
    </row>
    <row r="5" spans="2:19">
      <c r="B5" s="1180" t="s">
        <v>1084</v>
      </c>
      <c r="C5" s="1181">
        <f ca="1">C6+C9</f>
        <v>10304.464350814394</v>
      </c>
      <c r="D5" s="1181">
        <f ca="1">SUM(D6,D9)</f>
        <v>10822.847637142859</v>
      </c>
      <c r="G5" s="68"/>
      <c r="K5" s="68" t="s">
        <v>781</v>
      </c>
      <c r="L5" s="92">
        <f ca="1">M5</f>
        <v>9460.0060000000012</v>
      </c>
      <c r="M5" s="139">
        <f ca="1">FornecimentoE</f>
        <v>9460.0060000000012</v>
      </c>
      <c r="P5" s="68" t="s">
        <v>1085</v>
      </c>
    </row>
    <row r="6" spans="2:19">
      <c r="B6" s="1182" t="s">
        <v>1086</v>
      </c>
      <c r="C6" s="1183">
        <f ca="1">LnkTXTEV</f>
        <v>9460.0060000000012</v>
      </c>
      <c r="D6" s="1183">
        <f ca="1">SUM(D7:D8)</f>
        <v>9460.0060000000012</v>
      </c>
      <c r="F6" s="1457">
        <f ca="1">C24/LnkTXTEV-1</f>
        <v>0.14406350663444156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9460.0060000000012</v>
      </c>
      <c r="D7" s="144">
        <f ca="1">M5</f>
        <v>9460.0060000000012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2" t="s">
        <v>1091</v>
      </c>
      <c r="C9" s="1183">
        <f ca="1">SUM(C10:C13)</f>
        <v>844.4583508143935</v>
      </c>
      <c r="D9" s="1183">
        <f ca="1">SUM(D10:D13)</f>
        <v>1362.8416371428568</v>
      </c>
      <c r="G9" s="68"/>
      <c r="K9" s="785" t="s">
        <v>1092</v>
      </c>
      <c r="L9" s="1562">
        <f t="shared" ca="1" si="0"/>
        <v>4608.2020000000011</v>
      </c>
      <c r="M9" s="1184">
        <f ca="1">FornecimentoE_BT</f>
        <v>4608.2020000000011</v>
      </c>
      <c r="P9" s="68" t="s">
        <v>1093</v>
      </c>
    </row>
    <row r="10" spans="2:19">
      <c r="B10" s="1191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750.80522776184648</v>
      </c>
      <c r="D11" s="144">
        <f ca="1">N17</f>
        <v>1279.1563799999997</v>
      </c>
      <c r="G11" s="68"/>
      <c r="K11" s="71" t="s">
        <v>1095</v>
      </c>
      <c r="L11" s="71"/>
      <c r="M11" s="125"/>
      <c r="P11" s="68" t="s">
        <v>1096</v>
      </c>
      <c r="Q11" s="491">
        <f ca="1">M20/(D6+M20)</f>
        <v>0.11911137337696159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9.9678659096898983</v>
      </c>
      <c r="D12" s="144">
        <f ca="1">N18</f>
        <v>9.9678659096898983</v>
      </c>
      <c r="E12" s="72"/>
      <c r="G12" s="72"/>
      <c r="K12" s="145" t="s">
        <v>778</v>
      </c>
      <c r="L12" s="145" t="s">
        <v>695</v>
      </c>
      <c r="M12" s="1185" t="s">
        <v>1098</v>
      </c>
      <c r="N12" s="1186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83.685257142857125</v>
      </c>
      <c r="D13" s="144">
        <f ca="1">N19</f>
        <v>73.71739123316722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1">
        <f ca="1">IF(Q11&lt;Q12,Q11,(IF(Q11=0,0,Q11*0.75+Q12*0.25)))</f>
        <v>0.11911137337696159</v>
      </c>
      <c r="R13" s="69">
        <f ca="1">($M$5+$M$6-$M$8)*Q13/(1-Q13)</f>
        <v>1279.1563799999994</v>
      </c>
    </row>
    <row r="14" spans="2:19">
      <c r="B14" s="1187" t="s">
        <v>1100</v>
      </c>
      <c r="C14" s="1188">
        <f>VLOOKUP("custo Médio",DRA_CM_Perdas[#All],3,FALSE)</f>
        <v>198.72484580353299</v>
      </c>
      <c r="D14" s="1188">
        <f ca="1">IFERROR(E24,0)</f>
        <v>161.18909089769372</v>
      </c>
      <c r="E14" s="127"/>
      <c r="F14" s="127"/>
      <c r="G14" s="127"/>
      <c r="K14" s="68" t="s">
        <v>1104</v>
      </c>
      <c r="L14" s="393">
        <f>VLOOKUP("PERDAS TÉCNICAS",DRA_CM_Perdas[#All],3,FALSE)</f>
        <v>7.35304189857615E-2</v>
      </c>
      <c r="M14" s="393">
        <f>IF(CAPA!H29=0,CAPA!K34,CAPA!H29)</f>
        <v>0.13389999999999999</v>
      </c>
      <c r="N14" s="393">
        <f ca="1">IFERROR(N17/((M5+M6-M8+N16)+N17),0)</f>
        <v>0.11911137337696159</v>
      </c>
      <c r="P14" s="68" t="s">
        <v>1105</v>
      </c>
      <c r="Q14" s="491">
        <f ca="1">(M17+M16)/(M16+M17+M5+M6)</f>
        <v>0.13389999999999999</v>
      </c>
      <c r="R14" s="69">
        <f ca="1">IF(CAPA!H33="",(M5+M6-M8)/(1-M14)*M14,CAPA!H33)+IF(CAPA!H34="",M13*M9,CAPA!H34)</f>
        <v>1462.5271947812032</v>
      </c>
    </row>
    <row r="15" spans="2:19">
      <c r="B15" s="1189" t="s">
        <v>1103</v>
      </c>
      <c r="C15" s="1190">
        <f ca="1">C14*C5</f>
        <v>2047753.0892035931</v>
      </c>
      <c r="D15" s="1190">
        <f ca="1">D14*D5</f>
        <v>1744524.9715553098</v>
      </c>
      <c r="E15" s="79"/>
      <c r="F15" s="72"/>
      <c r="G15" s="126"/>
      <c r="K15" s="785" t="s">
        <v>1106</v>
      </c>
      <c r="L15" s="1738">
        <f>VLOOKUP("PERDAS NA RB (sobre as perdas na D)",DRA_CM_Perdas[#All],3,FALSE)</f>
        <v>0</v>
      </c>
      <c r="M15" s="1458">
        <f>IF(CAPA!H31=0,0,CAPA!H31)</f>
        <v>0</v>
      </c>
      <c r="N15" s="1563">
        <f ca="1">IFERROR(M22/(M5+M6+M23+N17+N16),0)</f>
        <v>7.7925311287505754E-3</v>
      </c>
      <c r="P15" s="68" t="s">
        <v>1107</v>
      </c>
      <c r="Q15" s="79">
        <f ca="1">IF(Q14&lt;Q13,Q14,Q13)</f>
        <v>0.11911137337696159</v>
      </c>
      <c r="R15" s="69">
        <f ca="1">IF(R14&lt;R13,R14,R13)</f>
        <v>1279.1563799999994</v>
      </c>
      <c r="S15" s="79">
        <f ca="1">R15/(M5+R15)</f>
        <v>0.11911137337696157</v>
      </c>
    </row>
    <row r="16" spans="2:19">
      <c r="K16" s="1191" t="s">
        <v>1109</v>
      </c>
      <c r="L16" s="1191">
        <f ca="1">L13*L9</f>
        <v>0</v>
      </c>
      <c r="M16" s="1191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0.11911137337696159</v>
      </c>
      <c r="R16" s="69">
        <f ca="1">($M$5+$M$6-$M$8+R15)*Q16</f>
        <v>1279.1563799999997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750.80522776184648</v>
      </c>
      <c r="M17" s="139">
        <f ca="1">IF(CAPA!H33="",(M5+M6-M8+M16)/(1-M14)*M14,CAPA!H33)</f>
        <v>1462.5271947812032</v>
      </c>
      <c r="N17" s="465">
        <f ca="1">IF($M$21&lt;$M$20,M17,($M$20/$M$21)*M17)+M23</f>
        <v>1279.1563799999997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9" t="s">
        <v>1111</v>
      </c>
      <c r="C18" s="1179" t="s">
        <v>1112</v>
      </c>
      <c r="D18" s="1179"/>
      <c r="E18" s="1179" t="s">
        <v>1113</v>
      </c>
      <c r="F18" s="1179" t="s">
        <v>1114</v>
      </c>
      <c r="G18" s="762"/>
      <c r="H18" s="764"/>
      <c r="I18" s="132"/>
      <c r="K18" s="139" t="s">
        <v>1094</v>
      </c>
      <c r="L18" s="465">
        <f ca="1">N18</f>
        <v>9.9678659096898983</v>
      </c>
      <c r="M18" s="465"/>
      <c r="N18" s="1484">
        <f ca="1">(N16+N17)*N15</f>
        <v>9.9678659096898983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1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3"/>
      <c r="H19" s="764"/>
      <c r="K19" s="1184" t="s">
        <v>1097</v>
      </c>
      <c r="L19" s="1459">
        <f ca="1">N19</f>
        <v>73.71739123316722</v>
      </c>
      <c r="M19" s="1459"/>
      <c r="N19" s="1485">
        <f ca="1">(M5+M6)*N15</f>
        <v>73.71739123316722</v>
      </c>
      <c r="Q19" s="140"/>
    </row>
    <row r="20" spans="1:22">
      <c r="B20" s="78" t="s">
        <v>47</v>
      </c>
      <c r="C20" s="251" cm="1">
        <f t="array" ref="C20">TabEnergiaProinfa[MWh]</f>
        <v>170.85448258501719</v>
      </c>
      <c r="D20" s="88"/>
      <c r="E20" s="88">
        <v>0</v>
      </c>
      <c r="F20" s="77">
        <v>0</v>
      </c>
      <c r="G20" s="763"/>
      <c r="H20" s="764"/>
      <c r="J20" s="132"/>
      <c r="K20" s="139" t="s">
        <v>1118</v>
      </c>
      <c r="L20" s="139"/>
      <c r="M20" s="139">
        <f>'Perdas de Energia'!I18</f>
        <v>1279.1563799999997</v>
      </c>
      <c r="N20" s="465"/>
      <c r="O20" s="140"/>
    </row>
    <row r="21" spans="1:22">
      <c r="B21" s="78" t="str">
        <f>B63</f>
        <v>Angra</v>
      </c>
      <c r="C21" s="251">
        <f ca="1">C63*N30</f>
        <v>427.52967849015766</v>
      </c>
      <c r="D21" s="88"/>
      <c r="E21" s="88">
        <f>E63</f>
        <v>349.15</v>
      </c>
      <c r="F21" s="77">
        <f ca="1">E21*C21</f>
        <v>149271.98724483853</v>
      </c>
      <c r="G21" s="763"/>
      <c r="H21" s="764"/>
      <c r="K21" s="1184" t="s">
        <v>1119</v>
      </c>
      <c r="L21" s="1184"/>
      <c r="M21" s="1184">
        <f ca="1">M16+M17</f>
        <v>1462.5271947812032</v>
      </c>
      <c r="N21" s="1459"/>
    </row>
    <row r="22" spans="1:22">
      <c r="B22" s="78" t="str">
        <f>B64</f>
        <v>CCGF</v>
      </c>
      <c r="C22" s="251">
        <f ca="1">(C64+C65)*N30</f>
        <v>2408.3999863535455</v>
      </c>
      <c r="D22" s="88"/>
      <c r="E22" s="88">
        <f>IFERROR((F64+F65)/(C64+C65),0)</f>
        <v>149.08635973157823</v>
      </c>
      <c r="F22" s="77">
        <f ca="1">E22*C22</f>
        <v>359059.58674303279</v>
      </c>
      <c r="G22" s="763"/>
      <c r="H22" s="764"/>
      <c r="K22" s="68" t="s">
        <v>2052</v>
      </c>
      <c r="M22" s="72">
        <f>SUMIFS(TabPerdaDIT[Valor],TabPerdaDIT[Dados de perda],"Perdas RB")</f>
        <v>83.685257142857125</v>
      </c>
    </row>
    <row r="23" spans="1:22">
      <c r="B23" s="78" t="s">
        <v>1120</v>
      </c>
      <c r="C23" s="251">
        <f ca="1">IF(J60=0,E35,(J48+J60))*N30</f>
        <v>7816.0634897141381</v>
      </c>
      <c r="D23" s="88"/>
      <c r="E23" s="88">
        <f ca="1">IF(K60=0,H35,(N48+N60)/(M48+M60))</f>
        <v>158.16061361249902</v>
      </c>
      <c r="F23" s="77">
        <f ca="1">E23*C23</f>
        <v>1236193.3975674384</v>
      </c>
      <c r="G23" s="763"/>
      <c r="H23" s="764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92" t="s">
        <v>1121</v>
      </c>
      <c r="C24" s="1193">
        <f ca="1">SUM(C19:C23)</f>
        <v>10822.847637142859</v>
      </c>
      <c r="D24" s="1194"/>
      <c r="E24" s="1194">
        <f ca="1">IF(SUM(C19:C23)=0,0,SUM(F19:F23)/SUM(C19:C23))</f>
        <v>161.18909089769372</v>
      </c>
      <c r="F24" s="1195">
        <f ca="1">SUM(F19:F23)</f>
        <v>1744524.9715553098</v>
      </c>
      <c r="G24" s="763"/>
      <c r="H24" s="808"/>
      <c r="J24" s="72"/>
      <c r="K24" s="1584"/>
      <c r="L24" s="1584"/>
      <c r="M24" s="1196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5"/>
    </row>
    <row r="26" spans="1:22">
      <c r="A26" s="74"/>
      <c r="B26" s="839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7" t="s">
        <v>27</v>
      </c>
      <c r="C27" s="1197" t="s">
        <v>875</v>
      </c>
      <c r="D27" s="1197" t="s">
        <v>1122</v>
      </c>
      <c r="E27" s="1197" t="s">
        <v>898</v>
      </c>
      <c r="F27" s="1197" t="s">
        <v>1123</v>
      </c>
      <c r="G27" s="1198" t="s">
        <v>1124</v>
      </c>
      <c r="H27" s="1198" t="s">
        <v>1125</v>
      </c>
      <c r="I27" s="1198" t="s">
        <v>1126</v>
      </c>
      <c r="K27" s="128"/>
      <c r="L27" s="1586"/>
      <c r="M27" s="100"/>
      <c r="N27" s="100"/>
    </row>
    <row r="28" spans="1:22">
      <c r="A28" s="74">
        <v>5697</v>
      </c>
      <c r="B28" s="511" t="s">
        <v>2201</v>
      </c>
      <c r="C28" s="511" t="s">
        <v>2361</v>
      </c>
      <c r="D28" s="511">
        <f>IF(B28="","",SUMIFS(Faturas!V:V,Faturas!U:U,"Consumo*",Faturas!S:S,Energia!C28,Faturas!R:R,Energia!B28))</f>
        <v>4453141.47</v>
      </c>
      <c r="E28" s="511">
        <f t="shared" ref="E28:E34" si="1">IF(B28="","",D28/1000)</f>
        <v>4453.1414699999996</v>
      </c>
      <c r="F28" s="599">
        <f>I28</f>
        <v>0</v>
      </c>
      <c r="G28" s="512">
        <f>IFERROR(VLOOKUP(CONCATENATE(A28,A78),BD!$H$43:$S$59,12,FALSE),"")</f>
        <v>284.99</v>
      </c>
      <c r="H28" s="512">
        <f t="shared" ref="H28:H34" si="2">IF(B28="","",IFERROR(G28*(1-F28),0))</f>
        <v>284.99</v>
      </c>
      <c r="I28" s="510">
        <f>SUMIFS(DescontoEnergia[Desconto],DescontoEnergia[idSupridora],Energia!A28,DescontoEnergia[Nível],Energia!C28)</f>
        <v>0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1"/>
      <c r="C29" s="511"/>
      <c r="D29" s="511" t="str">
        <f>IF(B29="","",SUMIFS(Faturas!V:V,Faturas!U:U,"Consumo*",Faturas!S:S,Energia!C29,Faturas!R:R,Energia!B29))</f>
        <v/>
      </c>
      <c r="E29" s="511" t="str">
        <f t="shared" si="1"/>
        <v/>
      </c>
      <c r="F29" s="599">
        <f t="shared" ref="F29:F32" si="3">I29</f>
        <v>0</v>
      </c>
      <c r="G29" s="512" t="str">
        <f>IFERROR(VLOOKUP(CONCATENATE(A29,A79),BD!$H$43:$S$59,12,FALSE),"")</f>
        <v/>
      </c>
      <c r="H29" s="512" t="str">
        <f t="shared" si="2"/>
        <v/>
      </c>
      <c r="I29" s="510">
        <f>SUMIFS(DescontoEnergia[Desconto],DescontoEnergia[idSupridora],Energia!A29,DescontoEnergia[Nível],Energia!C29)</f>
        <v>0</v>
      </c>
      <c r="K29" s="1199" t="s">
        <v>22</v>
      </c>
      <c r="L29" s="1200" t="s">
        <v>1128</v>
      </c>
      <c r="M29" s="1200" t="s">
        <v>1129</v>
      </c>
      <c r="N29" s="1201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2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1"/>
      <c r="C30" s="511"/>
      <c r="D30" s="511" t="str">
        <f>IF(B30="","",SUMIFS(Faturas!V:V,Faturas!U:U,"Consumo*",Faturas!S:S,Energia!C30,Faturas!R:R,Energia!B30))</f>
        <v/>
      </c>
      <c r="E30" s="511" t="str">
        <f t="shared" si="1"/>
        <v/>
      </c>
      <c r="F30" s="599">
        <f t="shared" si="3"/>
        <v>0</v>
      </c>
      <c r="G30" s="512" t="str">
        <f>IFERROR(VLOOKUP(CONCATENATE(A30,A80),BD!$H$43:$S$59,12,FALSE),"")</f>
        <v/>
      </c>
      <c r="H30" s="512" t="str">
        <f t="shared" si="2"/>
        <v/>
      </c>
      <c r="I30" s="510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9583.7177320857827</v>
      </c>
      <c r="M30" s="92">
        <f ca="1">LnkTXTER-LnkTXTProinfa</f>
        <v>10651.993154557842</v>
      </c>
      <c r="N30" s="210">
        <f ca="1">M30/L30</f>
        <v>1.1114677468948746</v>
      </c>
      <c r="O30" s="128"/>
      <c r="P30" s="68">
        <v>121096.97702999999</v>
      </c>
      <c r="Q30" s="68">
        <v>0.63819999999999999</v>
      </c>
      <c r="R30" s="68">
        <v>273.60000000000002</v>
      </c>
      <c r="S30" s="512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1"/>
      <c r="C31" s="511"/>
      <c r="D31" s="511" t="str">
        <f>IF(B31="","",SUMIFS(Faturas!V:V,Faturas!U:U,"Consumo*",Faturas!S:S,Energia!C31,Faturas!R:R,Energia!B31))</f>
        <v/>
      </c>
      <c r="E31" s="511" t="str">
        <f t="shared" si="1"/>
        <v/>
      </c>
      <c r="F31" s="599">
        <f t="shared" si="3"/>
        <v>0</v>
      </c>
      <c r="G31" s="512" t="str">
        <f>IFERROR(VLOOKUP(CONCATENATE(A31,A81),BD!$H$43:$S$59,12,FALSE),"")</f>
        <v/>
      </c>
      <c r="H31" s="512" t="str">
        <f t="shared" si="2"/>
        <v/>
      </c>
      <c r="I31" s="510">
        <f>SUMIFS(DescontoEnergia[Desconto],DescontoEnergia[idSupridora],Energia!A31,DescontoEnergia[Nível],Energia!C31)</f>
        <v>0</v>
      </c>
      <c r="K31" s="793"/>
      <c r="L31" s="795"/>
      <c r="M31" s="794"/>
      <c r="N31" s="796"/>
      <c r="O31" s="128"/>
      <c r="P31" s="68">
        <v>252593.90320000003</v>
      </c>
      <c r="Q31" s="68">
        <v>0.53600000000000003</v>
      </c>
      <c r="R31" s="68">
        <v>273.60000000000002</v>
      </c>
      <c r="S31" s="512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1"/>
      <c r="C32" s="511"/>
      <c r="D32" s="511" t="str">
        <f>IF(B32="","",SUMIFS(Faturas!V:V,Faturas!U:U,"Consumo*",Faturas!S:S,Energia!C32,Faturas!R:R,Energia!B32))</f>
        <v/>
      </c>
      <c r="E32" s="511" t="str">
        <f t="shared" si="1"/>
        <v/>
      </c>
      <c r="F32" s="599">
        <f t="shared" si="3"/>
        <v>0</v>
      </c>
      <c r="G32" s="512" t="str">
        <f>IFERROR(VLOOKUP(CONCATENATE(A32,A82),BD!$H$43:$S$59,12,FALSE),"")</f>
        <v/>
      </c>
      <c r="H32" s="512" t="str">
        <f t="shared" si="2"/>
        <v/>
      </c>
      <c r="I32" s="510">
        <f>SUMIFS(DescontoEnergia[Desconto],DescontoEnergia[idSupridora],Energia!A32,DescontoEnergia[Nível],Energia!C32)</f>
        <v>0</v>
      </c>
      <c r="K32" s="1808"/>
      <c r="L32" s="1808"/>
      <c r="M32" s="797"/>
      <c r="N32" s="797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1"/>
      <c r="C33" s="511"/>
      <c r="D33" s="511"/>
      <c r="E33" s="511" t="str">
        <f t="shared" si="1"/>
        <v/>
      </c>
      <c r="F33" s="599" t="str">
        <f>IF(B33="","",I33)</f>
        <v/>
      </c>
      <c r="G33" s="512" t="str">
        <f>IFERROR(VLOOKUP(CONCATENATE(A33,A83),BD!$H$43:$S$59,12,FALSE),"")</f>
        <v/>
      </c>
      <c r="H33" s="512" t="str">
        <f t="shared" si="2"/>
        <v/>
      </c>
      <c r="I33" s="510">
        <f>SUMIFS(DescontoEnergia[Desconto],DescontoEnergia[idSupridora],Energia!A33,DescontoEnergia[Nível],Energia!C33)</f>
        <v>0</v>
      </c>
      <c r="K33" s="798"/>
      <c r="L33" s="799"/>
      <c r="M33" s="797"/>
      <c r="N33" s="795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1"/>
      <c r="C34" s="511"/>
      <c r="D34" s="511" t="str">
        <f>IF(B34="","",SUMIFS(Faturas!V:V,Faturas!U:U,"Consumo*",Faturas!S:S,Energia!C34,Faturas!R:R,Energia!B34))</f>
        <v/>
      </c>
      <c r="E34" s="511" t="str">
        <f t="shared" si="1"/>
        <v/>
      </c>
      <c r="F34" s="599" t="str">
        <f>IF(B34="","",I34)</f>
        <v/>
      </c>
      <c r="G34" s="512" t="str">
        <f>IFERROR(VLOOKUP(CONCATENATE(A34,A84),BD!$H$43:$S$59,12,FALSE),"")</f>
        <v/>
      </c>
      <c r="H34" s="512" t="str">
        <f t="shared" si="2"/>
        <v/>
      </c>
      <c r="I34" s="510">
        <f>SUMIFS(DescontoEnergia[Desconto],DescontoEnergia[idSupridora],Energia!A34,DescontoEnergia[Nível],Energia!C34)</f>
        <v>0</v>
      </c>
      <c r="K34" s="1564" t="s">
        <v>2161</v>
      </c>
      <c r="L34" s="1565"/>
      <c r="M34" s="747"/>
      <c r="N34" s="100"/>
      <c r="O34" s="128"/>
      <c r="V34" s="140" t="e">
        <f ca="1">V32+V33</f>
        <v>#VALUE!</v>
      </c>
    </row>
    <row r="35" spans="1:22" ht="14.25" customHeight="1">
      <c r="A35" s="74"/>
      <c r="B35" s="729"/>
      <c r="C35" s="730"/>
      <c r="D35" s="731">
        <f>SUM(D28:D34)</f>
        <v>4453141.47</v>
      </c>
      <c r="E35" s="731">
        <f>SUM(E28:E34)</f>
        <v>4453.1414699999996</v>
      </c>
      <c r="F35" s="728"/>
      <c r="G35" s="724">
        <f>IFERROR(SUMPRODUCT(G28:G34,E28:E34)/SUM(E28:E34),0)</f>
        <v>284.99</v>
      </c>
      <c r="H35" s="725">
        <f>IFERROR(SUMPRODUCT(H28:H34,E28:E34)/SUM(E28:E34),0)</f>
        <v>284.99</v>
      </c>
      <c r="I35" s="724"/>
      <c r="K35" s="1566" t="s">
        <v>2162</v>
      </c>
      <c r="L35" s="1567">
        <f ca="1">(L16+L17+L18+L19)/LnkTXTEV</f>
        <v>8.8212468882652231E-2</v>
      </c>
      <c r="M35" s="747"/>
      <c r="N35" s="748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2049</v>
      </c>
      <c r="C39" s="69"/>
      <c r="G39" s="135"/>
      <c r="O39" s="128"/>
    </row>
    <row r="40" spans="1:22" ht="24" customHeight="1">
      <c r="A40" s="74"/>
      <c r="B40" s="1202" t="s">
        <v>778</v>
      </c>
      <c r="C40" s="1203" t="s">
        <v>1132</v>
      </c>
      <c r="D40" s="1204"/>
      <c r="E40" s="1203" t="s">
        <v>62</v>
      </c>
      <c r="F40" s="1203" t="s">
        <v>61</v>
      </c>
      <c r="G40" s="1203" t="s">
        <v>1133</v>
      </c>
      <c r="H40" s="1203" t="s">
        <v>1134</v>
      </c>
      <c r="I40" s="1203" t="s">
        <v>1135</v>
      </c>
      <c r="J40" s="1203" t="s">
        <v>898</v>
      </c>
      <c r="K40" s="1203" t="s">
        <v>1136</v>
      </c>
      <c r="L40" s="1203" t="s">
        <v>1137</v>
      </c>
      <c r="M40" s="1203" t="s">
        <v>1138</v>
      </c>
      <c r="N40" s="1203" t="s">
        <v>1139</v>
      </c>
      <c r="O40" s="128"/>
    </row>
    <row r="41" spans="1:22" ht="24" customHeight="1">
      <c r="A41" s="74"/>
      <c r="B41" s="790" t="s">
        <v>2343</v>
      </c>
      <c r="C41" s="790"/>
      <c r="D41" s="790"/>
      <c r="E41" s="1744"/>
      <c r="F41" s="1745"/>
      <c r="G41" s="1746"/>
      <c r="H41" s="1747">
        <f>(8.95*4+9.5*8)/8760</f>
        <v>1.276255707762557E-2</v>
      </c>
      <c r="I41" s="1744">
        <v>365</v>
      </c>
      <c r="J41" s="1740">
        <f>I41*H41*24</f>
        <v>111.8</v>
      </c>
      <c r="K41" s="1742">
        <f>H35</f>
        <v>284.99</v>
      </c>
      <c r="L41" s="791">
        <f>IFERROR(J41*K41,0)</f>
        <v>31861.882000000001</v>
      </c>
      <c r="M41" s="800">
        <f t="shared" ref="M41:M47" ca="1" si="7">IFERROR(J41*$N$30,0)</f>
        <v>124.26209410284697</v>
      </c>
      <c r="N41" s="791">
        <f ca="1">IFERROR(K41*M41,0)</f>
        <v>35413.45419837036</v>
      </c>
      <c r="O41" s="128"/>
    </row>
    <row r="42" spans="1:22" ht="24" customHeight="1">
      <c r="A42" s="74"/>
      <c r="B42" s="790"/>
      <c r="C42" s="790"/>
      <c r="D42" s="790"/>
      <c r="E42" s="1744"/>
      <c r="F42" s="1745"/>
      <c r="G42" s="1746"/>
      <c r="H42" s="1747"/>
      <c r="I42" s="1748"/>
      <c r="J42" s="1740"/>
      <c r="K42" s="1742">
        <f>H8</f>
        <v>0</v>
      </c>
      <c r="L42" s="791">
        <f>IFERROR(J42*K42,0)</f>
        <v>0</v>
      </c>
      <c r="M42" s="800">
        <f t="shared" ca="1" si="7"/>
        <v>0</v>
      </c>
      <c r="N42" s="791">
        <f ca="1">IFERROR(K42*M42,0)</f>
        <v>0</v>
      </c>
      <c r="O42" s="128"/>
    </row>
    <row r="43" spans="1:22" ht="24" customHeight="1">
      <c r="A43" s="74"/>
      <c r="B43" s="790"/>
      <c r="C43" s="790"/>
      <c r="D43" s="790" t="s">
        <v>114</v>
      </c>
      <c r="E43" s="1744" t="str">
        <f>IF(B43="","",D43/1000)</f>
        <v/>
      </c>
      <c r="F43" s="1745" t="str">
        <f>IF(B43="","",I43)</f>
        <v/>
      </c>
      <c r="G43" s="1746" t="s">
        <v>114</v>
      </c>
      <c r="H43" s="1747">
        <v>0</v>
      </c>
      <c r="I43" s="1744">
        <v>0</v>
      </c>
      <c r="J43" s="1740"/>
      <c r="K43" s="1742">
        <f>IFERROR(E43*(VLOOKUP(EDATE(G43,-1),Índices!#REF!,3,FALSE)/VLOOKUP(EDATE(F43,-1),Índices!#REF!,3,FALSE)),0)</f>
        <v>0</v>
      </c>
      <c r="L43" s="791">
        <f t="shared" ref="L43:L47" si="8">J43*K43</f>
        <v>0</v>
      </c>
      <c r="M43" s="800">
        <f t="shared" ca="1" si="7"/>
        <v>0</v>
      </c>
      <c r="N43" s="791">
        <f t="shared" ref="N43:N47" ca="1" si="9">K43*M43</f>
        <v>0</v>
      </c>
      <c r="O43" s="128"/>
    </row>
    <row r="44" spans="1:22" ht="24" customHeight="1">
      <c r="A44" s="74"/>
      <c r="B44" s="790"/>
      <c r="C44" s="790"/>
      <c r="D44" s="790" t="s">
        <v>114</v>
      </c>
      <c r="E44" s="1744" t="str">
        <f>IF(B44="","",D44/1000)</f>
        <v/>
      </c>
      <c r="F44" s="1745" t="str">
        <f>IF(B44="","",I44)</f>
        <v/>
      </c>
      <c r="G44" s="1746" t="s">
        <v>114</v>
      </c>
      <c r="H44" s="1747">
        <v>0</v>
      </c>
      <c r="I44" s="1744">
        <v>0</v>
      </c>
      <c r="J44" s="1740"/>
      <c r="K44" s="1742">
        <f>IFERROR(E44*(VLOOKUP(EDATE(G44,-1),Índices!#REF!,3,FALSE)/VLOOKUP(EDATE(F44,-1),Índices!#REF!,3,FALSE)),0)</f>
        <v>0</v>
      </c>
      <c r="L44" s="791">
        <f t="shared" si="8"/>
        <v>0</v>
      </c>
      <c r="M44" s="800">
        <f t="shared" ca="1" si="7"/>
        <v>0</v>
      </c>
      <c r="N44" s="791">
        <f ca="1">K44*M44</f>
        <v>0</v>
      </c>
      <c r="O44" s="128"/>
    </row>
    <row r="45" spans="1:22" ht="24" customHeight="1">
      <c r="A45" s="74"/>
      <c r="B45" s="790"/>
      <c r="C45" s="790"/>
      <c r="D45" s="790" t="s">
        <v>114</v>
      </c>
      <c r="E45" s="1744" t="str">
        <f>IF(B45="","",D45/1000)</f>
        <v/>
      </c>
      <c r="F45" s="1745" t="str">
        <f>IF(B45="","",I45)</f>
        <v/>
      </c>
      <c r="G45" s="1746" t="s">
        <v>114</v>
      </c>
      <c r="H45" s="1747">
        <v>0</v>
      </c>
      <c r="I45" s="1744">
        <v>0</v>
      </c>
      <c r="J45" s="1740"/>
      <c r="K45" s="1742">
        <f>IFERROR(E45*(VLOOKUP(EDATE(G45,-1),Índices!#REF!,3,FALSE)/VLOOKUP(EDATE(F45,-1),Índices!#REF!,3,FALSE)),0)</f>
        <v>0</v>
      </c>
      <c r="L45" s="791">
        <f t="shared" si="8"/>
        <v>0</v>
      </c>
      <c r="M45" s="800">
        <f t="shared" ca="1" si="7"/>
        <v>0</v>
      </c>
      <c r="N45" s="791">
        <f t="shared" ca="1" si="9"/>
        <v>0</v>
      </c>
      <c r="O45" s="128"/>
    </row>
    <row r="46" spans="1:22" ht="24" customHeight="1">
      <c r="A46" s="74"/>
      <c r="B46" s="790"/>
      <c r="C46" s="790"/>
      <c r="D46" s="790" t="s">
        <v>114</v>
      </c>
      <c r="E46" s="1744" t="str">
        <f>IF(B46="","",D46/1000)</f>
        <v/>
      </c>
      <c r="F46" s="1745" t="str">
        <f>IF(B46="","",I46)</f>
        <v/>
      </c>
      <c r="G46" s="1746" t="s">
        <v>114</v>
      </c>
      <c r="H46" s="1747">
        <v>0</v>
      </c>
      <c r="I46" s="1744">
        <v>0</v>
      </c>
      <c r="J46" s="1740"/>
      <c r="K46" s="1742">
        <f>IFERROR(E46*(VLOOKUP(EDATE(G46,-1),Índices!#REF!,3,FALSE)/VLOOKUP(EDATE(F46,-1),Índices!#REF!,3,FALSE)),0)</f>
        <v>0</v>
      </c>
      <c r="L46" s="791">
        <f t="shared" si="8"/>
        <v>0</v>
      </c>
      <c r="M46" s="800">
        <f t="shared" ca="1" si="7"/>
        <v>0</v>
      </c>
      <c r="N46" s="791">
        <f t="shared" ca="1" si="9"/>
        <v>0</v>
      </c>
      <c r="O46" s="128"/>
    </row>
    <row r="47" spans="1:22" ht="24" customHeight="1">
      <c r="A47" s="74"/>
      <c r="B47" s="790"/>
      <c r="C47" s="790"/>
      <c r="D47" s="790" t="s">
        <v>114</v>
      </c>
      <c r="E47" s="1744" t="str">
        <f>IF(B47="","",D47/1000)</f>
        <v/>
      </c>
      <c r="F47" s="1745" t="str">
        <f>IF(B47="","",I47)</f>
        <v/>
      </c>
      <c r="G47" s="1746" t="s">
        <v>114</v>
      </c>
      <c r="H47" s="1747">
        <v>0</v>
      </c>
      <c r="I47" s="1744">
        <v>0</v>
      </c>
      <c r="J47" s="1740"/>
      <c r="K47" s="1742">
        <f>IFERROR(E47*(VLOOKUP(EDATE(G47,-1),Índices!#REF!,3,FALSE)/VLOOKUP(EDATE(F47,-1),Índices!#REF!,3,FALSE)),0)</f>
        <v>0</v>
      </c>
      <c r="L47" s="791">
        <f t="shared" si="8"/>
        <v>0</v>
      </c>
      <c r="M47" s="800">
        <f t="shared" ca="1" si="7"/>
        <v>0</v>
      </c>
      <c r="N47" s="791">
        <f t="shared" ca="1" si="9"/>
        <v>0</v>
      </c>
      <c r="O47" s="128"/>
    </row>
    <row r="48" spans="1:22" ht="24" customHeight="1">
      <c r="A48" s="74"/>
      <c r="B48" s="1205" t="s">
        <v>769</v>
      </c>
      <c r="C48" s="1206"/>
      <c r="D48" s="1206"/>
      <c r="E48" s="1205"/>
      <c r="F48" s="1205"/>
      <c r="G48" s="1207"/>
      <c r="H48" s="1205"/>
      <c r="I48" s="1205"/>
      <c r="J48" s="1208">
        <f>SUM(J41:J47)</f>
        <v>111.8</v>
      </c>
      <c r="K48" s="1209">
        <f ca="1">IFERROR(SUMPRODUCT(K41:K47,M41:M47)/SUM(M41:M47),0)</f>
        <v>284.99</v>
      </c>
      <c r="L48" s="1205"/>
      <c r="M48" s="1210">
        <f ca="1">SUM(M41:M47)</f>
        <v>124.26209410284697</v>
      </c>
      <c r="N48" s="1210">
        <f ca="1">SUM(N41:N47)</f>
        <v>35413.45419837036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2" t="s">
        <v>778</v>
      </c>
      <c r="C52" s="1203" t="s">
        <v>1132</v>
      </c>
      <c r="D52" s="1204"/>
      <c r="E52" s="1203" t="s">
        <v>62</v>
      </c>
      <c r="F52" s="1203" t="s">
        <v>61</v>
      </c>
      <c r="G52" s="1203" t="s">
        <v>1133</v>
      </c>
      <c r="H52" s="1203" t="s">
        <v>1134</v>
      </c>
      <c r="I52" s="1203" t="s">
        <v>1135</v>
      </c>
      <c r="J52" s="1203" t="s">
        <v>898</v>
      </c>
      <c r="K52" s="1203" t="s">
        <v>1136</v>
      </c>
      <c r="L52" s="1203" t="s">
        <v>1137</v>
      </c>
      <c r="M52" s="1203" t="s">
        <v>1138</v>
      </c>
      <c r="N52" s="1203" t="s">
        <v>1139</v>
      </c>
      <c r="O52" s="128"/>
      <c r="V52" s="140" t="e">
        <f ca="1">V34-V51</f>
        <v>#VALUE!</v>
      </c>
    </row>
    <row r="53" spans="1:22" ht="18" customHeight="1">
      <c r="A53" s="74"/>
      <c r="B53" s="790" t="s">
        <v>2376</v>
      </c>
      <c r="C53" s="790" t="s">
        <v>2377</v>
      </c>
      <c r="D53" s="790"/>
      <c r="E53" s="1744">
        <v>130</v>
      </c>
      <c r="F53" s="1745">
        <v>43831</v>
      </c>
      <c r="G53" s="1746"/>
      <c r="H53" s="1747">
        <v>0.79</v>
      </c>
      <c r="I53" s="1741">
        <v>365</v>
      </c>
      <c r="J53" s="1740">
        <f>I53*H53*24</f>
        <v>6920.4000000000005</v>
      </c>
      <c r="K53" s="1742">
        <f>E53*Índices!D406/Índices!D374</f>
        <v>156.11166768478924</v>
      </c>
      <c r="L53" s="791">
        <f>IFERROR(J53*K53,0)</f>
        <v>1080355.1850458155</v>
      </c>
      <c r="M53" s="800">
        <f t="shared" ref="M53:M59" ca="1" si="10">IFERROR(J53*$N$30,0)</f>
        <v>7691.8013956112909</v>
      </c>
      <c r="N53" s="791">
        <f ca="1">IFERROR(K53*M53,0)</f>
        <v>1200779.943369068</v>
      </c>
      <c r="O53" s="134"/>
    </row>
    <row r="54" spans="1:22">
      <c r="B54" s="790"/>
      <c r="C54" s="790"/>
      <c r="D54" s="790"/>
      <c r="E54" s="1744"/>
      <c r="F54" s="1745"/>
      <c r="G54" s="1746"/>
      <c r="H54" s="1747"/>
      <c r="I54" s="1743"/>
      <c r="J54" s="1740"/>
      <c r="K54" s="1742" t="str">
        <f>H29</f>
        <v/>
      </c>
      <c r="L54" s="791">
        <f>IFERROR(J54*K54,0)</f>
        <v>0</v>
      </c>
      <c r="M54" s="800">
        <f t="shared" ca="1" si="10"/>
        <v>0</v>
      </c>
      <c r="N54" s="791">
        <f ca="1">IFERROR(K54*M54,0)</f>
        <v>0</v>
      </c>
      <c r="V54" s="68">
        <v>7728827.6146981604</v>
      </c>
    </row>
    <row r="55" spans="1:22">
      <c r="B55" s="790"/>
      <c r="C55" s="790"/>
      <c r="D55" s="790" t="s">
        <v>114</v>
      </c>
      <c r="E55" s="1744" t="str">
        <f>IF(B55="","",D55/1000)</f>
        <v/>
      </c>
      <c r="F55" s="1745" t="str">
        <f>IF(B55="","",I55)</f>
        <v/>
      </c>
      <c r="G55" s="1746" t="s">
        <v>114</v>
      </c>
      <c r="H55" s="1747">
        <v>0</v>
      </c>
      <c r="I55" s="1741">
        <v>0</v>
      </c>
      <c r="J55" s="1740"/>
      <c r="K55" s="1742">
        <f>IFERROR(E55*(VLOOKUP(EDATE(G55,-1),Índices!B7:D501,3,FALSE)/VLOOKUP(EDATE(F55,-1),Índices!B7:D501,3,FALSE)),0)</f>
        <v>0</v>
      </c>
      <c r="L55" s="791">
        <f t="shared" ref="L55:L59" si="11">J55*K55</f>
        <v>0</v>
      </c>
      <c r="M55" s="800">
        <f t="shared" ca="1" si="10"/>
        <v>0</v>
      </c>
      <c r="N55" s="791">
        <f t="shared" ref="N55:N59" ca="1" si="12">K55*M55</f>
        <v>0</v>
      </c>
    </row>
    <row r="56" spans="1:22">
      <c r="B56" s="790"/>
      <c r="C56" s="790"/>
      <c r="D56" s="790" t="s">
        <v>114</v>
      </c>
      <c r="E56" s="1744" t="str">
        <f>IF(B56="","",D56/1000)</f>
        <v/>
      </c>
      <c r="F56" s="1745" t="str">
        <f>IF(B56="","",I56)</f>
        <v/>
      </c>
      <c r="G56" s="1746" t="s">
        <v>114</v>
      </c>
      <c r="H56" s="1747">
        <v>0</v>
      </c>
      <c r="I56" s="1741">
        <v>0</v>
      </c>
      <c r="J56" s="1740"/>
      <c r="K56" s="1742">
        <f>IFERROR(E56*(VLOOKUP(EDATE(G56,-1),Índices!B8:D502,3,FALSE)/VLOOKUP(EDATE(F56,-1),Índices!B8:D502,3,FALSE)),0)</f>
        <v>0</v>
      </c>
      <c r="L56" s="791">
        <f t="shared" si="11"/>
        <v>0</v>
      </c>
      <c r="M56" s="800">
        <f t="shared" ca="1" si="10"/>
        <v>0</v>
      </c>
      <c r="N56" s="791">
        <f t="shared" ca="1" si="12"/>
        <v>0</v>
      </c>
      <c r="V56" s="140" t="e">
        <f ca="1">V52+V54</f>
        <v>#VALUE!</v>
      </c>
    </row>
    <row r="57" spans="1:22">
      <c r="B57" s="790"/>
      <c r="C57" s="790"/>
      <c r="D57" s="790" t="s">
        <v>114</v>
      </c>
      <c r="E57" s="1744" t="str">
        <f>IF(B57="","",D57/1000)</f>
        <v/>
      </c>
      <c r="F57" s="1745" t="str">
        <f>IF(B57="","",I57)</f>
        <v/>
      </c>
      <c r="G57" s="1746" t="s">
        <v>114</v>
      </c>
      <c r="H57" s="1747">
        <v>0</v>
      </c>
      <c r="I57" s="1741">
        <v>0</v>
      </c>
      <c r="J57" s="1740"/>
      <c r="K57" s="1742">
        <f>IFERROR(E57*(VLOOKUP(EDATE(G57,-1),Índices!B9:D503,3,FALSE)/VLOOKUP(EDATE(F57,-1),Índices!B9:D503,3,FALSE)),0)</f>
        <v>0</v>
      </c>
      <c r="L57" s="791">
        <f t="shared" si="11"/>
        <v>0</v>
      </c>
      <c r="M57" s="800">
        <f t="shared" ca="1" si="10"/>
        <v>0</v>
      </c>
      <c r="N57" s="791">
        <f t="shared" ca="1" si="12"/>
        <v>0</v>
      </c>
    </row>
    <row r="58" spans="1:22">
      <c r="B58" s="790"/>
      <c r="C58" s="790"/>
      <c r="D58" s="790" t="s">
        <v>114</v>
      </c>
      <c r="E58" s="1744" t="str">
        <f>IF(B58="","",D58/1000)</f>
        <v/>
      </c>
      <c r="F58" s="1745" t="str">
        <f>IF(B58="","",I58)</f>
        <v/>
      </c>
      <c r="G58" s="1746" t="s">
        <v>114</v>
      </c>
      <c r="H58" s="1747">
        <v>0</v>
      </c>
      <c r="I58" s="1741">
        <v>0</v>
      </c>
      <c r="J58" s="1740"/>
      <c r="K58" s="1742">
        <f>IFERROR(E58*(VLOOKUP(EDATE(G58,-1),Índices!B10:D504,3,FALSE)/VLOOKUP(EDATE(F58,-1),Índices!B10:D504,3,FALSE)),0)</f>
        <v>0</v>
      </c>
      <c r="L58" s="791">
        <f t="shared" si="11"/>
        <v>0</v>
      </c>
      <c r="M58" s="800">
        <f t="shared" ca="1" si="10"/>
        <v>0</v>
      </c>
      <c r="N58" s="791">
        <f t="shared" ca="1" si="12"/>
        <v>0</v>
      </c>
    </row>
    <row r="59" spans="1:22">
      <c r="B59" s="790"/>
      <c r="C59" s="790"/>
      <c r="D59" s="790" t="s">
        <v>114</v>
      </c>
      <c r="E59" s="1744" t="str">
        <f>IF(B59="","",D59/1000)</f>
        <v/>
      </c>
      <c r="F59" s="1745" t="str">
        <f>IF(B59="","",I59)</f>
        <v/>
      </c>
      <c r="G59" s="1746" t="s">
        <v>114</v>
      </c>
      <c r="H59" s="1747">
        <v>0</v>
      </c>
      <c r="I59" s="1741">
        <v>0</v>
      </c>
      <c r="J59" s="1740"/>
      <c r="K59" s="1742">
        <f>IFERROR(E59*(VLOOKUP(EDATE(G59,-1),Índices!B11:D505,3,FALSE)/VLOOKUP(EDATE(F59,-1),Índices!B11:D505,3,FALSE)),0)</f>
        <v>0</v>
      </c>
      <c r="L59" s="791">
        <f t="shared" si="11"/>
        <v>0</v>
      </c>
      <c r="M59" s="800">
        <f t="shared" ca="1" si="10"/>
        <v>0</v>
      </c>
      <c r="N59" s="791">
        <f t="shared" ca="1" si="12"/>
        <v>0</v>
      </c>
    </row>
    <row r="60" spans="1:22">
      <c r="B60" s="1205" t="s">
        <v>769</v>
      </c>
      <c r="C60" s="1206"/>
      <c r="D60" s="1206"/>
      <c r="E60" s="1205"/>
      <c r="F60" s="1205"/>
      <c r="G60" s="1207"/>
      <c r="H60" s="1205"/>
      <c r="I60" s="1205"/>
      <c r="J60" s="1208">
        <f>SUM(J53:J59)</f>
        <v>6920.4000000000005</v>
      </c>
      <c r="K60" s="1209">
        <f ca="1">IFERROR(SUMPRODUCT(K53:K59,M53:M59)/SUM(M53:M59),0)</f>
        <v>156.11166768478924</v>
      </c>
      <c r="L60" s="1205"/>
      <c r="M60" s="1210">
        <f ca="1">SUM(M53:M59)</f>
        <v>7691.8013956112909</v>
      </c>
      <c r="N60" s="1210">
        <f ca="1">SUM(N53:N59)</f>
        <v>1200779.943369068</v>
      </c>
    </row>
    <row r="61" spans="1:22">
      <c r="C61" s="412"/>
      <c r="D61" s="412"/>
      <c r="E61" s="412"/>
      <c r="K61" s="68" t="s">
        <v>2053</v>
      </c>
    </row>
    <row r="62" spans="1:22" ht="15.75">
      <c r="B62" s="1211" t="s">
        <v>1140</v>
      </c>
      <c r="C62" s="1212" t="s">
        <v>1141</v>
      </c>
      <c r="D62" s="1213"/>
      <c r="E62" s="1214" t="s">
        <v>1142</v>
      </c>
      <c r="F62" s="1214" t="s">
        <v>1143</v>
      </c>
      <c r="H62" s="1215" t="s">
        <v>1144</v>
      </c>
      <c r="I62" s="1216" t="s">
        <v>42</v>
      </c>
      <c r="J62" s="1217" t="s">
        <v>43</v>
      </c>
      <c r="K62" s="1218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384.6532476399376</v>
      </c>
      <c r="D63" s="1739">
        <f t="shared" ref="D63:D65" si="13">E63</f>
        <v>349.15</v>
      </c>
      <c r="E63" s="217">
        <f>IFERROR(VLOOKUP("Angra",AngraCota[],4,FALSE),0)</f>
        <v>349.15</v>
      </c>
      <c r="F63" s="107">
        <f>C63*E63</f>
        <v>134301.68141348421</v>
      </c>
      <c r="H63" s="1219" t="s">
        <v>1146</v>
      </c>
      <c r="I63" s="1220" cm="1">
        <f t="array" ref="I63">GSFRH[GSF previsto]</f>
        <v>0.87029999999999996</v>
      </c>
      <c r="J63" s="1221" cm="1">
        <f t="array" ref="J63">GSFRH[PLD]</f>
        <v>195.04</v>
      </c>
      <c r="K63" s="1222">
        <f>(J63*(1-I63)*(C64+C65))</f>
        <v>54814.494801307359</v>
      </c>
    </row>
    <row r="64" spans="1:22" ht="15.75">
      <c r="B64" s="78" t="s">
        <v>1146</v>
      </c>
      <c r="C64" s="251">
        <f>BD!AE22</f>
        <v>834.38200231631004</v>
      </c>
      <c r="D64" s="1739">
        <f t="shared" si="13"/>
        <v>136.09082703184501</v>
      </c>
      <c r="E64" s="217">
        <f>BD!AG22</f>
        <v>136.09082703184501</v>
      </c>
      <c r="F64" s="107">
        <f>C64*E64</f>
        <v>113551.73675571346</v>
      </c>
      <c r="H64" s="801" t="s">
        <v>1147</v>
      </c>
      <c r="I64" s="802">
        <f>I63</f>
        <v>0.87029999999999996</v>
      </c>
      <c r="J64" s="803">
        <f>J63</f>
        <v>195.04</v>
      </c>
      <c r="K64" s="804"/>
    </row>
    <row r="65" spans="1:11" ht="15.75">
      <c r="B65" s="78" t="s">
        <v>1146</v>
      </c>
      <c r="C65" s="251">
        <f>BD!AE23</f>
        <v>1332.4824821295329</v>
      </c>
      <c r="D65" s="1739">
        <f t="shared" si="13"/>
        <v>157.2239816069827</v>
      </c>
      <c r="E65" s="217">
        <f>BD!AG23</f>
        <v>157.2239816069827</v>
      </c>
      <c r="F65" s="107">
        <f>C65*E65</f>
        <v>209498.20126196032</v>
      </c>
      <c r="H65" s="805" t="s">
        <v>1148</v>
      </c>
      <c r="I65" s="802">
        <f>I64</f>
        <v>0.87029999999999996</v>
      </c>
      <c r="J65" s="803">
        <f>J64</f>
        <v>195.04</v>
      </c>
      <c r="K65" s="804">
        <f>(J65*(1-I65)*I68*K68*365*24)</f>
        <v>93443.944511201233</v>
      </c>
    </row>
    <row r="66" spans="1:11" ht="15.75">
      <c r="B66" s="792"/>
      <c r="C66" s="792">
        <f>SUM(C63:C65)</f>
        <v>2551.5177320857806</v>
      </c>
      <c r="D66" s="792"/>
      <c r="E66" s="792"/>
      <c r="F66" s="792">
        <f>SUM(F63:F65)</f>
        <v>457351.619431158</v>
      </c>
      <c r="H66" s="786" t="s">
        <v>1149</v>
      </c>
      <c r="I66" s="1223"/>
      <c r="J66" s="1224"/>
      <c r="K66" s="1225">
        <f>SUM(K63:K65)</f>
        <v>148258.43931250859</v>
      </c>
    </row>
    <row r="67" spans="1:11" ht="15.75">
      <c r="H67" s="1809" t="s">
        <v>45</v>
      </c>
      <c r="I67" s="1809"/>
      <c r="J67" s="1226"/>
      <c r="K67" s="1226" t="s">
        <v>44</v>
      </c>
    </row>
    <row r="68" spans="1:11" ht="15.75">
      <c r="H68" s="787" t="str">
        <f>CAPA!C9</f>
        <v>Cersad</v>
      </c>
      <c r="I68" s="807" cm="1">
        <f t="array" ref="I68">GSFRH[Fator de rateio]</f>
        <v>2.8608399999999999E-5</v>
      </c>
      <c r="J68" s="900">
        <f>J63</f>
        <v>195.04</v>
      </c>
      <c r="K68" s="788" cm="1">
        <f t="array" ref="K68">GSFRH[MWm repactuado]</f>
        <v>14739.74</v>
      </c>
    </row>
    <row r="69" spans="1:11" ht="15">
      <c r="B69" s="1211" t="s">
        <v>1150</v>
      </c>
      <c r="C69" s="1212" t="s">
        <v>1141</v>
      </c>
      <c r="D69" s="1213"/>
      <c r="E69" s="1214" t="s">
        <v>1142</v>
      </c>
      <c r="F69" s="1214" t="s">
        <v>1143</v>
      </c>
    </row>
    <row r="70" spans="1:11">
      <c r="B70" s="78" t="s">
        <v>1151</v>
      </c>
      <c r="C70" s="251">
        <f>D89</f>
        <v>0</v>
      </c>
      <c r="D70" s="806">
        <f t="shared" ref="D70" si="14">E70</f>
        <v>0</v>
      </c>
      <c r="E70" s="790">
        <v>0</v>
      </c>
      <c r="F70" s="107">
        <f>C70*E70</f>
        <v>0</v>
      </c>
    </row>
    <row r="71" spans="1:11">
      <c r="B71" s="78"/>
      <c r="C71" s="251"/>
      <c r="D71" s="806"/>
      <c r="E71" s="790"/>
      <c r="F71" s="107"/>
      <c r="J71" s="140"/>
    </row>
    <row r="72" spans="1:11">
      <c r="B72" s="792"/>
      <c r="C72" s="792">
        <f>SUM(C70:C71)</f>
        <v>0</v>
      </c>
      <c r="D72" s="792"/>
      <c r="E72" s="792"/>
      <c r="F72" s="792">
        <f>SUM(F70:F71)</f>
        <v>0</v>
      </c>
      <c r="J72" s="140"/>
    </row>
    <row r="75" spans="1:11">
      <c r="C75" s="123" t="s">
        <v>1150</v>
      </c>
    </row>
    <row r="76" spans="1:11">
      <c r="C76" s="1717" t="s">
        <v>2199</v>
      </c>
      <c r="D76" s="1717" t="s">
        <v>2306</v>
      </c>
    </row>
    <row r="77" spans="1:11">
      <c r="A77" s="68" t="s">
        <v>1152</v>
      </c>
      <c r="C77" s="1735">
        <f>SAS_RA0_DataInicio</f>
        <v>44440</v>
      </c>
      <c r="D77" s="851">
        <f>IFERROR(VLOOKUP(C77,GeracaoPropria[],2,FALSE)/1000,0)</f>
        <v>0</v>
      </c>
    </row>
    <row r="78" spans="1:11">
      <c r="A78" s="68" t="str">
        <f>TRIM(LEFT(C28,3))</f>
        <v>A4</v>
      </c>
      <c r="C78" s="1735">
        <f>EDATE(C77,1)</f>
        <v>44470</v>
      </c>
      <c r="D78" s="851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35">
        <f t="shared" ref="C79:C87" si="16">EDATE(C78,1)</f>
        <v>44501</v>
      </c>
      <c r="D79" s="851">
        <f>IFERROR(VLOOKUP(C79,GeracaoPropria[],2,FALSE)/1000,0)</f>
        <v>0</v>
      </c>
    </row>
    <row r="80" spans="1:11">
      <c r="A80" s="68" t="str">
        <f t="shared" si="15"/>
        <v/>
      </c>
      <c r="C80" s="1735">
        <f t="shared" si="16"/>
        <v>44531</v>
      </c>
      <c r="D80" s="851">
        <f>IFERROR(VLOOKUP(C80,GeracaoPropria[],2,FALSE)/1000,0)</f>
        <v>0</v>
      </c>
    </row>
    <row r="81" spans="1:4">
      <c r="A81" s="68" t="str">
        <f t="shared" si="15"/>
        <v/>
      </c>
      <c r="C81" s="1735">
        <f t="shared" si="16"/>
        <v>44562</v>
      </c>
      <c r="D81" s="851">
        <f>IFERROR(VLOOKUP(C81,GeracaoPropria[],2,FALSE)/1000,0)</f>
        <v>0</v>
      </c>
    </row>
    <row r="82" spans="1:4">
      <c r="A82" s="68" t="str">
        <f t="shared" si="15"/>
        <v/>
      </c>
      <c r="C82" s="1735">
        <f t="shared" si="16"/>
        <v>44593</v>
      </c>
      <c r="D82" s="851">
        <f>IFERROR(VLOOKUP(C82,GeracaoPropria[],2,FALSE)/1000,0)</f>
        <v>0</v>
      </c>
    </row>
    <row r="83" spans="1:4">
      <c r="A83" s="68" t="str">
        <f t="shared" si="15"/>
        <v/>
      </c>
      <c r="C83" s="1735">
        <f t="shared" si="16"/>
        <v>44621</v>
      </c>
      <c r="D83" s="851">
        <f>IFERROR(VLOOKUP(C83,GeracaoPropria[],2,FALSE)/1000,0)</f>
        <v>0</v>
      </c>
    </row>
    <row r="84" spans="1:4">
      <c r="A84" s="68" t="str">
        <f t="shared" si="15"/>
        <v/>
      </c>
      <c r="C84" s="1735">
        <f t="shared" si="16"/>
        <v>44652</v>
      </c>
      <c r="D84" s="851">
        <f>IFERROR(VLOOKUP(C84,GeracaoPropria[],2,FALSE)/1000,0)</f>
        <v>0</v>
      </c>
    </row>
    <row r="85" spans="1:4">
      <c r="C85" s="1735">
        <f t="shared" si="16"/>
        <v>44682</v>
      </c>
      <c r="D85" s="851">
        <f>IFERROR(VLOOKUP(C85,GeracaoPropria[],2,FALSE)/1000,0)</f>
        <v>0</v>
      </c>
    </row>
    <row r="86" spans="1:4">
      <c r="C86" s="1735">
        <f>EDATE(C85,1)</f>
        <v>44713</v>
      </c>
      <c r="D86" s="851">
        <f>IFERROR(VLOOKUP(C86,GeracaoPropria[],2,FALSE)/1000,D85)</f>
        <v>0</v>
      </c>
    </row>
    <row r="87" spans="1:4">
      <c r="C87" s="1735">
        <f t="shared" si="16"/>
        <v>44743</v>
      </c>
      <c r="D87" s="851">
        <f>IFERROR(VLOOKUP(C87,GeracaoPropria[],2,FALSE)/1000,D86)</f>
        <v>0</v>
      </c>
    </row>
    <row r="88" spans="1:4">
      <c r="C88" s="1735">
        <f>EDATE(C87,1)</f>
        <v>44774</v>
      </c>
      <c r="D88" s="851">
        <f>IFERROR(VLOOKUP(C88,GeracaoPropria[],2,FALSE)/1000,D87)</f>
        <v>0</v>
      </c>
    </row>
    <row r="89" spans="1:4">
      <c r="C89" s="1718" t="s">
        <v>769</v>
      </c>
      <c r="D89" s="1117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C36" sqref="C36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0" t="s">
        <v>2282</v>
      </c>
      <c r="C1" s="1721"/>
      <c r="D1" s="1722"/>
      <c r="E1" s="1722"/>
      <c r="F1" s="1723" t="s">
        <v>873</v>
      </c>
      <c r="G1" s="1724">
        <f ca="1">LnkTXTIRTEco</f>
        <v>0.1164</v>
      </c>
    </row>
    <row r="2" spans="2:10">
      <c r="B2" s="1725" t="str">
        <f>CAPA!C9</f>
        <v>Cersad</v>
      </c>
      <c r="C2" s="1726"/>
      <c r="D2" s="1726"/>
      <c r="E2" s="1726"/>
      <c r="F2" s="1727" t="s">
        <v>877</v>
      </c>
      <c r="G2" s="1728">
        <f ca="1">LnkTXTIRTTotal</f>
        <v>-0.14729999999999999</v>
      </c>
    </row>
    <row r="4" spans="2:10">
      <c r="B4" s="9"/>
    </row>
    <row r="5" spans="2:10" ht="25.5">
      <c r="B5" s="1717" t="s">
        <v>2199</v>
      </c>
      <c r="C5" s="1717" t="s">
        <v>2180</v>
      </c>
      <c r="D5" s="1717" t="s">
        <v>2181</v>
      </c>
      <c r="E5" s="1717" t="s">
        <v>2182</v>
      </c>
      <c r="F5" s="1717" t="s">
        <v>790</v>
      </c>
      <c r="G5" s="1717" t="s">
        <v>109</v>
      </c>
      <c r="H5" s="1717" t="s">
        <v>2200</v>
      </c>
      <c r="I5" s="1717" t="s">
        <v>742</v>
      </c>
      <c r="J5" s="1717" t="s">
        <v>1282</v>
      </c>
    </row>
    <row r="6" spans="2:10">
      <c r="B6" s="1735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952.73500000000001</v>
      </c>
      <c r="G6" s="851">
        <f>IF(C6=0,(SUMIF(FaturasT!I:I,'Perdas de Energia'!B6,FaturasT!P:P)/1000),0)</f>
        <v>14.802</v>
      </c>
      <c r="H6" s="851">
        <f>SUMIF(dados_MercadoBase[AnoMes],'Perdas de Energia'!B6,dados_MercadoBase[TE_E])</f>
        <v>816.36899999999991</v>
      </c>
      <c r="I6" s="1736">
        <f>C6-D6-E6+F6-H6+G6</f>
        <v>151.16800000000009</v>
      </c>
      <c r="J6" s="1737">
        <f>I6/(C6-D6-E6+F6+G6)</f>
        <v>0.15624001976151825</v>
      </c>
    </row>
    <row r="7" spans="2:10">
      <c r="B7" s="1735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866.65204000000006</v>
      </c>
      <c r="G7" s="851">
        <f>IF(C7=0,(SUMIF(FaturasT!I:I,'Perdas de Energia'!B7,FaturasT!P:P)/1000),0)</f>
        <v>14.798</v>
      </c>
      <c r="H7" s="851">
        <f>SUMIF(dados_MercadoBase[AnoMes],'Perdas de Energia'!B7,dados_MercadoBase[TE_E])</f>
        <v>804.97099999999989</v>
      </c>
      <c r="I7" s="1736">
        <f t="shared" ref="I7:I16" si="0">C7-D7-E7+F7-H7+G7</f>
        <v>76.479040000000168</v>
      </c>
      <c r="J7" s="1737">
        <f t="shared" ref="J7:J17" si="1">I7/(C7-D7-E7+F7+G7)</f>
        <v>8.6765030948322566E-2</v>
      </c>
    </row>
    <row r="8" spans="2:10">
      <c r="B8" s="1735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887.83792000000005</v>
      </c>
      <c r="G8" s="851">
        <f>IF(C8=0,(SUMIF(FaturasT!I:I,'Perdas de Energia'!B8,FaturasT!P:P)/1000),0)</f>
        <v>15.757</v>
      </c>
      <c r="H8" s="851">
        <f>SUMIF(dados_MercadoBase[AnoMes],'Perdas de Energia'!B8,dados_MercadoBase[TE_E])</f>
        <v>793.4799999999999</v>
      </c>
      <c r="I8" s="1736">
        <f t="shared" si="0"/>
        <v>110.11492000000015</v>
      </c>
      <c r="J8" s="1737">
        <f t="shared" si="1"/>
        <v>0.12186314637536935</v>
      </c>
    </row>
    <row r="9" spans="2:10">
      <c r="B9" s="1735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891.76442000000009</v>
      </c>
      <c r="G9" s="851">
        <f>IF(C9=0,(SUMIF(FaturasT!I:I,'Perdas de Energia'!B9,FaturasT!P:P)/1000),0)</f>
        <v>15.731</v>
      </c>
      <c r="H9" s="851">
        <f>SUMIF(dados_MercadoBase[AnoMes],'Perdas de Energia'!B9,dados_MercadoBase[TE_E])</f>
        <v>748.12099999999998</v>
      </c>
      <c r="I9" s="1736">
        <f t="shared" si="0"/>
        <v>159.3744200000001</v>
      </c>
      <c r="J9" s="1737">
        <f t="shared" si="1"/>
        <v>0.17562008191732811</v>
      </c>
    </row>
    <row r="10" spans="2:10">
      <c r="B10" s="1735">
        <f t="shared" si="2"/>
        <v>44562</v>
      </c>
      <c r="C10" s="851">
        <f>IFERROR(VLOOKUP(B10,PerdasDitFinal[#All],2,FALSE),0)</f>
        <v>872.94150000000002</v>
      </c>
      <c r="D10" s="851">
        <f>IFERROR(VLOOKUP(B10,PerdasDitFinal[#All],3,FALSE),0)</f>
        <v>10.2897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0</v>
      </c>
      <c r="G10" s="851">
        <f>IF(C10=0,(SUMIF(FaturasT!I:I,'Perdas de Energia'!B10,FaturasT!P:P)/1000),0)</f>
        <v>0</v>
      </c>
      <c r="H10" s="851">
        <f>SUMIF(dados_MercadoBase[AnoMes],'Perdas de Energia'!B10,dados_MercadoBase[TE_E])</f>
        <v>725.46000000000015</v>
      </c>
      <c r="I10" s="1736">
        <f t="shared" si="0"/>
        <v>137.19179999999983</v>
      </c>
      <c r="J10" s="1737">
        <f t="shared" si="1"/>
        <v>0.15903496636765824</v>
      </c>
    </row>
    <row r="11" spans="2:10">
      <c r="B11" s="1735">
        <f t="shared" si="2"/>
        <v>44593</v>
      </c>
      <c r="C11" s="851">
        <f>IFERROR(VLOOKUP(B11,PerdasDitFinal[#All],2,FALSE),0)</f>
        <v>889.35069999999996</v>
      </c>
      <c r="D11" s="851">
        <f>IFERROR(VLOOKUP(B11,PerdasDitFinal[#All],3,FALSE),0)</f>
        <v>18.367899999999999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0</v>
      </c>
      <c r="G11" s="851">
        <f>IF(C11=0,(SUMIF(FaturasT!I:I,'Perdas de Energia'!B11,FaturasT!P:P)/1000),0)</f>
        <v>0</v>
      </c>
      <c r="H11" s="851">
        <f>SUMIF(dados_MercadoBase[AnoMes],'Perdas de Energia'!B11,dados_MercadoBase[TE_E])</f>
        <v>855.64499999999998</v>
      </c>
      <c r="I11" s="1736">
        <f t="shared" si="0"/>
        <v>15.337800000000016</v>
      </c>
      <c r="J11" s="1737">
        <f t="shared" si="1"/>
        <v>1.7609762213444416E-2</v>
      </c>
    </row>
    <row r="12" spans="2:10">
      <c r="B12" s="1735">
        <f t="shared" si="2"/>
        <v>44621</v>
      </c>
      <c r="C12" s="851">
        <f>IFERROR(VLOOKUP(B12,PerdasDitFinal[#All],2,FALSE),0)</f>
        <v>990.08150000000001</v>
      </c>
      <c r="D12" s="851">
        <f>IFERROR(VLOOKUP(B12,PerdasDitFinal[#All],3,FALSE),0)</f>
        <v>4.5239000000000003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0</v>
      </c>
      <c r="G12" s="851">
        <f>IF(C12=0,(SUMIF(FaturasT!I:I,'Perdas de Energia'!B12,FaturasT!P:P)/1000),0)</f>
        <v>0</v>
      </c>
      <c r="H12" s="851">
        <f>SUMIF(dados_MercadoBase[AnoMes],'Perdas de Energia'!B12,dados_MercadoBase[TE_E])</f>
        <v>872.98900000000015</v>
      </c>
      <c r="I12" s="1736">
        <f t="shared" si="0"/>
        <v>112.56859999999983</v>
      </c>
      <c r="J12" s="1737">
        <f t="shared" si="1"/>
        <v>0.11421818471086807</v>
      </c>
    </row>
    <row r="13" spans="2:10">
      <c r="B13" s="1735">
        <f t="shared" si="2"/>
        <v>44652</v>
      </c>
      <c r="C13" s="851">
        <f>IFERROR(VLOOKUP(B13,PerdasDitFinal[#All],2,FALSE),0)</f>
        <v>835.37350000000004</v>
      </c>
      <c r="D13" s="851">
        <f>IFERROR(VLOOKUP(B13,PerdasDitFinal[#All],3,FALSE),0)</f>
        <v>2.6635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0</v>
      </c>
      <c r="G13" s="851">
        <f>IF(C13=0,(SUMIF(FaturasT!I:I,'Perdas de Energia'!B13,FaturasT!P:P)/1000),0)</f>
        <v>0</v>
      </c>
      <c r="H13" s="851">
        <f>SUMIF(dados_MercadoBase[AnoMes],'Perdas de Energia'!B13,dados_MercadoBase[TE_E])</f>
        <v>705.27200000000016</v>
      </c>
      <c r="I13" s="1736">
        <f t="shared" si="0"/>
        <v>127.43799999999987</v>
      </c>
      <c r="J13" s="1737">
        <f t="shared" si="1"/>
        <v>0.1530400739753334</v>
      </c>
    </row>
    <row r="14" spans="2:10">
      <c r="B14" s="1735">
        <f t="shared" si="2"/>
        <v>44682</v>
      </c>
      <c r="C14" s="851">
        <f>IFERROR(VLOOKUP(B14,PerdasDitFinal[#All],2,FALSE),0)</f>
        <v>934.50009999999997</v>
      </c>
      <c r="D14" s="851">
        <f>IFERROR(VLOOKUP(B14,PerdasDitFinal[#All],3,FALSE),D13)</f>
        <v>3.7031999999999998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0</v>
      </c>
      <c r="G14" s="851">
        <f>IF(C14=0,IF(IFERROR(VLOOKUP(B14,FaturasT!I:I,1,FALSE),0)=B14,(SUMIF(Consulta3[MesAno],'Perdas de Energia'!B14,Consulta3[Proinfa (kWh)])/1000),G13),0)</f>
        <v>0</v>
      </c>
      <c r="H14" s="851">
        <f>SUMIF(dados_MercadoBase[AnoMes],'Perdas de Energia'!B14,dados_MercadoBase[TE_E])</f>
        <v>781.54899999999998</v>
      </c>
      <c r="I14" s="1736">
        <f t="shared" si="0"/>
        <v>149.24789999999996</v>
      </c>
      <c r="J14" s="1737">
        <f t="shared" si="1"/>
        <v>0.16034421687480907</v>
      </c>
    </row>
    <row r="15" spans="2:10">
      <c r="B15" s="1735">
        <f>EDATE(B14,1)</f>
        <v>44713</v>
      </c>
      <c r="C15" s="851">
        <f>IFERROR(VLOOKUP(B15,PerdasDitFinal[#All],2,FALSE),C14)</f>
        <v>860.55079999999998</v>
      </c>
      <c r="D15" s="851">
        <f>IFERROR(VLOOKUP(B15,PerdasDitFinal[#All],3,FALSE),D14)</f>
        <v>1.1225000000000001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0</v>
      </c>
      <c r="G15" s="851">
        <f>IF(C15=0,IF(IFERROR(VLOOKUP(B15,FaturasT!I:I,1,FALSE),0)=B15,(SUMIF(Consulta3[MesAno],'Perdas de Energia'!B15,Consulta3[Proinfa (kWh)])/1000),G14),0)</f>
        <v>0</v>
      </c>
      <c r="H15" s="851">
        <f>SUMIF(dados_MercadoBase[AnoMes],'Perdas de Energia'!B15,dados_MercadoBase[TE_E])</f>
        <v>783.34500000000003</v>
      </c>
      <c r="I15" s="1736">
        <f t="shared" si="0"/>
        <v>76.083300000000008</v>
      </c>
      <c r="J15" s="1737">
        <f t="shared" si="1"/>
        <v>8.852780389009765E-2</v>
      </c>
    </row>
    <row r="16" spans="2:10">
      <c r="B16" s="1735">
        <f t="shared" si="2"/>
        <v>44743</v>
      </c>
      <c r="C16" s="851">
        <f>IFERROR(VLOOKUP(B16,PerdasDitFinal[#All],2,FALSE),C15)</f>
        <v>876.62450000000001</v>
      </c>
      <c r="D16" s="851">
        <f>IFERROR(VLOOKUP(B16,PerdasDitFinal[#All],3,FALSE),D15)</f>
        <v>8.1456999999999997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0</v>
      </c>
      <c r="G16" s="851">
        <f>IF(C16=0,IF(IFERROR(VLOOKUP(B16,FaturasT!I:I,1,FALSE),0)=B16,(SUMIF(Consulta3[MesAno],'Perdas de Energia'!B16,Consulta3[Proinfa (kWh)])/1000),G15),0)</f>
        <v>0</v>
      </c>
      <c r="H16" s="851">
        <f>SUMIF(dados_MercadoBase[AnoMes],'Perdas de Energia'!B16,dados_MercadoBase[TE_E])</f>
        <v>755.38200000000006</v>
      </c>
      <c r="I16" s="1736">
        <f t="shared" si="0"/>
        <v>113.09679999999992</v>
      </c>
      <c r="J16" s="1737">
        <f t="shared" si="1"/>
        <v>0.13022401928521446</v>
      </c>
    </row>
    <row r="17" spans="2:10">
      <c r="B17" s="1735">
        <f>EDATE(B16,1)</f>
        <v>44774</v>
      </c>
      <c r="C17" s="851">
        <f>IFERROR(VLOOKUP(B17,PerdasDitFinal[#All],2,FALSE),C16)</f>
        <v>876.62450000000001</v>
      </c>
      <c r="D17" s="851">
        <f>IFERROR(VLOOKUP(B17,PerdasDitFinal[#All],3,FALSE),D16)</f>
        <v>8.1456999999999997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0</v>
      </c>
      <c r="G17" s="851">
        <f>IF(C17=0,IF(IFERROR(VLOOKUP(B17,FaturasT!I:I,1,FALSE),0)=B17,(SUMIF(Consulta3[MesAno],'Perdas de Energia'!B17,Consulta3[Proinfa (kWh)])/1000),G16),0)</f>
        <v>0</v>
      </c>
      <c r="H17" s="851">
        <f>SUMIF(dados_MercadoBase[AnoMes],'Perdas de Energia'!B17,dados_MercadoBase[TE_E])</f>
        <v>817.42300000000012</v>
      </c>
      <c r="I17" s="1736">
        <f>C17-D17-E17+F17-H17+G17</f>
        <v>51.055799999999863</v>
      </c>
      <c r="J17" s="1737">
        <f t="shared" si="1"/>
        <v>5.8787618074269472E-2</v>
      </c>
    </row>
    <row r="18" spans="2:10">
      <c r="B18" s="1718" t="s">
        <v>769</v>
      </c>
      <c r="C18" s="1117">
        <f t="shared" ref="C18:G18" si="3">SUM(C6:C17)</f>
        <v>7136.0470999999998</v>
      </c>
      <c r="D18" s="1117">
        <f t="shared" si="3"/>
        <v>56.9621</v>
      </c>
      <c r="E18" s="1117">
        <f t="shared" si="3"/>
        <v>0</v>
      </c>
      <c r="F18" s="1117">
        <f t="shared" si="3"/>
        <v>3598.98938</v>
      </c>
      <c r="G18" s="1117">
        <f t="shared" si="3"/>
        <v>61.088000000000001</v>
      </c>
      <c r="H18" s="1117">
        <f>SUM(H6:H17)</f>
        <v>9460.0060000000012</v>
      </c>
      <c r="I18" s="1117">
        <f>SUM(I6:I17)</f>
        <v>1279.1563799999997</v>
      </c>
      <c r="J18" s="1719">
        <f>I18/(C18-D18-E18+F18+G18)</f>
        <v>0.11911137337696161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Normal="100" workbookViewId="0"/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7" t="s">
        <v>635</v>
      </c>
      <c r="C1" s="1021">
        <f>Resultado!C1</f>
        <v>0</v>
      </c>
      <c r="D1" s="1228"/>
      <c r="E1" s="1229"/>
      <c r="F1" s="1230"/>
      <c r="G1" s="1131" t="s">
        <v>873</v>
      </c>
      <c r="H1" s="1231">
        <f ca="1">LnkTXTIRTEco</f>
        <v>0.1164</v>
      </c>
    </row>
    <row r="2" spans="2:27">
      <c r="B2" s="136" t="str">
        <f>CAPA!C9</f>
        <v>Cersad</v>
      </c>
      <c r="C2" s="70"/>
      <c r="D2" s="70"/>
      <c r="G2" s="120" t="s">
        <v>877</v>
      </c>
      <c r="H2" s="146">
        <f ca="1">LnkTXTIRTTotal</f>
        <v>-0.14729999999999999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2" t="s">
        <v>1153</v>
      </c>
      <c r="C6" s="1232"/>
      <c r="D6" s="1232"/>
      <c r="E6" s="1232"/>
      <c r="F6" s="1232"/>
      <c r="G6" s="1232"/>
      <c r="H6" s="1232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3" t="s">
        <v>778</v>
      </c>
      <c r="C8" s="1233" t="s">
        <v>1154</v>
      </c>
      <c r="D8" s="1233" t="s">
        <v>1155</v>
      </c>
      <c r="E8" s="1233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4" t="s">
        <v>1157</v>
      </c>
      <c r="C10" s="1235">
        <f>SUMIFS($M$18:$M$63,$D$18:$D$63,"Fora Ponta")</f>
        <v>0</v>
      </c>
      <c r="D10" s="1235">
        <f>SUMIFS($J$18:$J$63,$D$18:$D$63,"Fora Ponta")</f>
        <v>0</v>
      </c>
      <c r="E10" s="1235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6" t="s">
        <v>1158</v>
      </c>
      <c r="G14" s="1237"/>
      <c r="H14" s="1237"/>
      <c r="I14" s="1237"/>
      <c r="J14" s="1237"/>
      <c r="K14" s="1237"/>
      <c r="L14" s="1237"/>
      <c r="M14" s="1237"/>
      <c r="N14" s="1237"/>
      <c r="O14" s="1237"/>
      <c r="P14" s="1237"/>
      <c r="Q14" s="1237"/>
      <c r="R14" s="1238"/>
    </row>
    <row r="15" spans="2:27">
      <c r="B15" s="1815" t="s">
        <v>1159</v>
      </c>
      <c r="C15" s="1816" t="s">
        <v>1160</v>
      </c>
      <c r="D15" s="1817" t="s">
        <v>78</v>
      </c>
      <c r="E15" s="1818" t="s">
        <v>1161</v>
      </c>
      <c r="F15" s="1818"/>
      <c r="G15" s="1818"/>
      <c r="H15" s="1819"/>
      <c r="I15" s="1820" t="s">
        <v>1162</v>
      </c>
      <c r="J15" s="1821"/>
      <c r="K15" s="1821"/>
      <c r="L15" s="1821"/>
      <c r="M15" s="1822" t="s">
        <v>1163</v>
      </c>
      <c r="N15" s="1823"/>
      <c r="O15" s="1823"/>
      <c r="P15" s="1823"/>
      <c r="Q15" s="1823"/>
      <c r="R15" s="1823"/>
      <c r="S15" s="1823"/>
      <c r="T15" s="1823"/>
      <c r="U15" s="1823"/>
      <c r="V15" s="1823"/>
      <c r="W15" s="1823"/>
      <c r="X15" s="1823"/>
      <c r="Y15" s="1823"/>
      <c r="Z15" s="65"/>
      <c r="AA15" s="382"/>
    </row>
    <row r="16" spans="2:27">
      <c r="B16" s="1815"/>
      <c r="C16" s="1816"/>
      <c r="D16" s="1817"/>
      <c r="E16" s="1826" t="s">
        <v>110</v>
      </c>
      <c r="F16" s="1827"/>
      <c r="G16" s="1827" t="s">
        <v>1164</v>
      </c>
      <c r="H16" s="1828"/>
      <c r="I16" s="1829" t="s">
        <v>110</v>
      </c>
      <c r="J16" s="1830"/>
      <c r="K16" s="1830" t="s">
        <v>1164</v>
      </c>
      <c r="L16" s="1831"/>
      <c r="M16" s="1824"/>
      <c r="N16" s="1825"/>
      <c r="O16" s="1825"/>
      <c r="P16" s="1825"/>
      <c r="Q16" s="1825"/>
      <c r="R16" s="1825"/>
      <c r="S16" s="1825"/>
      <c r="T16" s="1825"/>
      <c r="U16" s="1825"/>
      <c r="V16" s="1825"/>
      <c r="W16" s="1825"/>
      <c r="X16" s="1825"/>
      <c r="Y16" s="1825"/>
      <c r="Z16" s="65"/>
      <c r="AA16" s="382"/>
    </row>
    <row r="17" spans="2:27">
      <c r="B17" s="1815"/>
      <c r="C17" s="1816"/>
      <c r="D17" s="1817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9">
        <f>RBBD!B3</f>
        <v>0</v>
      </c>
      <c r="C18" s="1239">
        <f>RBBD!C3</f>
        <v>0</v>
      </c>
      <c r="D18" s="1239">
        <f>RBBD!D3</f>
        <v>0</v>
      </c>
      <c r="E18" s="1239">
        <f>RBBD!E3</f>
        <v>0</v>
      </c>
      <c r="F18" s="1239">
        <f>RBBD!F3</f>
        <v>0</v>
      </c>
      <c r="G18" s="1239">
        <f>RBBD!G3</f>
        <v>0</v>
      </c>
      <c r="H18" s="1239">
        <f>RBBD!H3</f>
        <v>0</v>
      </c>
      <c r="I18" s="1239">
        <f>E18*$M18</f>
        <v>0</v>
      </c>
      <c r="J18" s="1239">
        <f>F18*$M18</f>
        <v>0</v>
      </c>
      <c r="K18" s="1239">
        <f>G18*$M18</f>
        <v>0</v>
      </c>
      <c r="L18" s="1239">
        <f>H18*$M18</f>
        <v>0</v>
      </c>
      <c r="M18" s="1239">
        <f>SUM(N18:Y18)</f>
        <v>0</v>
      </c>
      <c r="N18" s="1239">
        <f>RBBD!I3</f>
        <v>0</v>
      </c>
      <c r="O18" s="1239">
        <f>RBBD!J3</f>
        <v>0</v>
      </c>
      <c r="P18" s="1239">
        <f>RBBD!K3</f>
        <v>0</v>
      </c>
      <c r="Q18" s="1239">
        <f>RBBD!L3</f>
        <v>0</v>
      </c>
      <c r="R18" s="1239">
        <f>RBBD!M3</f>
        <v>0</v>
      </c>
      <c r="S18" s="1239">
        <f>RBBD!N3</f>
        <v>0</v>
      </c>
      <c r="T18" s="1239">
        <f>RBBD!O3</f>
        <v>0</v>
      </c>
      <c r="U18" s="1239">
        <f>RBBD!P3</f>
        <v>0</v>
      </c>
      <c r="V18" s="1239">
        <f>RBBD!Q3</f>
        <v>0</v>
      </c>
      <c r="W18" s="1239">
        <f>RBBD!R3</f>
        <v>0</v>
      </c>
      <c r="X18" s="1239">
        <f>RBBD!S3</f>
        <v>0</v>
      </c>
      <c r="Y18" s="1239">
        <f>RBBD!T3</f>
        <v>0</v>
      </c>
      <c r="Z18" s="65"/>
      <c r="AA18" s="324">
        <f t="shared" ref="AA18:AA23" si="1">IF(B18=0,0,1)</f>
        <v>0</v>
      </c>
    </row>
    <row r="19" spans="2:27" hidden="1">
      <c r="B19" s="1239">
        <f>RBBD!B4</f>
        <v>0</v>
      </c>
      <c r="C19" s="1239">
        <f>RBBD!C4</f>
        <v>0</v>
      </c>
      <c r="D19" s="1239">
        <f>RBBD!D4</f>
        <v>0</v>
      </c>
      <c r="E19" s="1239">
        <f>RBBD!E4</f>
        <v>0</v>
      </c>
      <c r="F19" s="1239">
        <f>RBBD!F4</f>
        <v>0</v>
      </c>
      <c r="G19" s="1239">
        <f>RBBD!G4</f>
        <v>0</v>
      </c>
      <c r="H19" s="1239">
        <f>RBBD!H4</f>
        <v>0</v>
      </c>
      <c r="I19" s="1239">
        <f t="shared" ref="I19:L60" si="2">E19*$M19</f>
        <v>0</v>
      </c>
      <c r="J19" s="1239">
        <f t="shared" si="2"/>
        <v>0</v>
      </c>
      <c r="K19" s="1239">
        <f t="shared" si="2"/>
        <v>0</v>
      </c>
      <c r="L19" s="1239">
        <f t="shared" si="2"/>
        <v>0</v>
      </c>
      <c r="M19" s="1239">
        <f t="shared" ref="M19:M60" si="3">SUM(N19:Y19)</f>
        <v>0</v>
      </c>
      <c r="N19" s="1239">
        <f>RBBD!I4</f>
        <v>0</v>
      </c>
      <c r="O19" s="1239">
        <f>RBBD!J4</f>
        <v>0</v>
      </c>
      <c r="P19" s="1239">
        <f>RBBD!K4</f>
        <v>0</v>
      </c>
      <c r="Q19" s="1239">
        <f>RBBD!L4</f>
        <v>0</v>
      </c>
      <c r="R19" s="1239">
        <f>RBBD!M4</f>
        <v>0</v>
      </c>
      <c r="S19" s="1239">
        <f>RBBD!N4</f>
        <v>0</v>
      </c>
      <c r="T19" s="1239">
        <f>RBBD!O4</f>
        <v>0</v>
      </c>
      <c r="U19" s="1239">
        <f>RBBD!P4</f>
        <v>0</v>
      </c>
      <c r="V19" s="1239">
        <f>RBBD!Q4</f>
        <v>0</v>
      </c>
      <c r="W19" s="1239">
        <f>RBBD!R4</f>
        <v>0</v>
      </c>
      <c r="X19" s="1239">
        <f>RBBD!S4</f>
        <v>0</v>
      </c>
      <c r="Y19" s="1239">
        <f>RBBD!T4</f>
        <v>0</v>
      </c>
      <c r="Z19" s="65"/>
      <c r="AA19" s="324">
        <f t="shared" si="1"/>
        <v>0</v>
      </c>
    </row>
    <row r="20" spans="2:27" hidden="1">
      <c r="B20" s="1239">
        <f>RBBD!B5</f>
        <v>0</v>
      </c>
      <c r="C20" s="1239">
        <f>RBBD!C5</f>
        <v>0</v>
      </c>
      <c r="D20" s="1239">
        <f>RBBD!D5</f>
        <v>0</v>
      </c>
      <c r="E20" s="1239">
        <f>RBBD!E5</f>
        <v>0</v>
      </c>
      <c r="F20" s="1239">
        <f>RBBD!F5</f>
        <v>0</v>
      </c>
      <c r="G20" s="1239">
        <f>RBBD!G5</f>
        <v>0</v>
      </c>
      <c r="H20" s="1239">
        <f>RBBD!H5</f>
        <v>0</v>
      </c>
      <c r="I20" s="1239">
        <f t="shared" si="2"/>
        <v>0</v>
      </c>
      <c r="J20" s="1239">
        <f t="shared" si="2"/>
        <v>0</v>
      </c>
      <c r="K20" s="1239">
        <f t="shared" si="2"/>
        <v>0</v>
      </c>
      <c r="L20" s="1239">
        <f t="shared" si="2"/>
        <v>0</v>
      </c>
      <c r="M20" s="1239">
        <f t="shared" si="3"/>
        <v>0</v>
      </c>
      <c r="N20" s="1239">
        <f>RBBD!I5</f>
        <v>0</v>
      </c>
      <c r="O20" s="1239">
        <f>RBBD!J5</f>
        <v>0</v>
      </c>
      <c r="P20" s="1239">
        <f>RBBD!K5</f>
        <v>0</v>
      </c>
      <c r="Q20" s="1239">
        <f>RBBD!L5</f>
        <v>0</v>
      </c>
      <c r="R20" s="1239">
        <f>RBBD!M5</f>
        <v>0</v>
      </c>
      <c r="S20" s="1239">
        <f>RBBD!N5</f>
        <v>0</v>
      </c>
      <c r="T20" s="1239">
        <f>RBBD!O5</f>
        <v>0</v>
      </c>
      <c r="U20" s="1239">
        <f>RBBD!P5</f>
        <v>0</v>
      </c>
      <c r="V20" s="1239">
        <f>RBBD!Q5</f>
        <v>0</v>
      </c>
      <c r="W20" s="1239">
        <f>RBBD!R5</f>
        <v>0</v>
      </c>
      <c r="X20" s="1239">
        <f>RBBD!S5</f>
        <v>0</v>
      </c>
      <c r="Y20" s="1239">
        <f>RBBD!T5</f>
        <v>0</v>
      </c>
      <c r="Z20" s="65"/>
      <c r="AA20" s="324">
        <f t="shared" si="1"/>
        <v>0</v>
      </c>
    </row>
    <row r="21" spans="2:27" hidden="1">
      <c r="B21" s="1239">
        <f>RBBD!B6</f>
        <v>0</v>
      </c>
      <c r="C21" s="1239">
        <f>RBBD!C6</f>
        <v>0</v>
      </c>
      <c r="D21" s="1239">
        <f>RBBD!D6</f>
        <v>0</v>
      </c>
      <c r="E21" s="1239">
        <f>RBBD!E6</f>
        <v>0</v>
      </c>
      <c r="F21" s="1239">
        <f>RBBD!F6</f>
        <v>0</v>
      </c>
      <c r="G21" s="1239">
        <f>RBBD!G6</f>
        <v>0</v>
      </c>
      <c r="H21" s="1239">
        <f>RBBD!H6</f>
        <v>0</v>
      </c>
      <c r="I21" s="1239">
        <f t="shared" si="2"/>
        <v>0</v>
      </c>
      <c r="J21" s="1239">
        <f t="shared" si="2"/>
        <v>0</v>
      </c>
      <c r="K21" s="1239">
        <f t="shared" si="2"/>
        <v>0</v>
      </c>
      <c r="L21" s="1239">
        <f t="shared" si="2"/>
        <v>0</v>
      </c>
      <c r="M21" s="1239">
        <f t="shared" si="3"/>
        <v>0</v>
      </c>
      <c r="N21" s="1239">
        <f>RBBD!I6</f>
        <v>0</v>
      </c>
      <c r="O21" s="1239">
        <f>RBBD!J6</f>
        <v>0</v>
      </c>
      <c r="P21" s="1239">
        <f>RBBD!K6</f>
        <v>0</v>
      </c>
      <c r="Q21" s="1239">
        <f>RBBD!L6</f>
        <v>0</v>
      </c>
      <c r="R21" s="1239">
        <f>RBBD!M6</f>
        <v>0</v>
      </c>
      <c r="S21" s="1239">
        <f>RBBD!N6</f>
        <v>0</v>
      </c>
      <c r="T21" s="1239">
        <f>RBBD!O6</f>
        <v>0</v>
      </c>
      <c r="U21" s="1239">
        <f>RBBD!P6</f>
        <v>0</v>
      </c>
      <c r="V21" s="1239">
        <f>RBBD!Q6</f>
        <v>0</v>
      </c>
      <c r="W21" s="1239">
        <f>RBBD!R6</f>
        <v>0</v>
      </c>
      <c r="X21" s="1239">
        <f>RBBD!S6</f>
        <v>0</v>
      </c>
      <c r="Y21" s="1239">
        <f>RBBD!T6</f>
        <v>0</v>
      </c>
      <c r="Z21" s="65"/>
      <c r="AA21" s="324">
        <f t="shared" si="1"/>
        <v>0</v>
      </c>
    </row>
    <row r="22" spans="2:27" hidden="1">
      <c r="B22" s="1239">
        <f>RBBD!B7</f>
        <v>0</v>
      </c>
      <c r="C22" s="1239">
        <f>RBBD!C7</f>
        <v>0</v>
      </c>
      <c r="D22" s="1239">
        <f>RBBD!D7</f>
        <v>0</v>
      </c>
      <c r="E22" s="1239">
        <f>RBBD!E7</f>
        <v>0</v>
      </c>
      <c r="F22" s="1239">
        <f>RBBD!F7</f>
        <v>0</v>
      </c>
      <c r="G22" s="1239">
        <f>RBBD!G7</f>
        <v>0</v>
      </c>
      <c r="H22" s="1239">
        <f>RBBD!H7</f>
        <v>0</v>
      </c>
      <c r="I22" s="1239">
        <f t="shared" si="2"/>
        <v>0</v>
      </c>
      <c r="J22" s="1239">
        <f t="shared" si="2"/>
        <v>0</v>
      </c>
      <c r="K22" s="1239">
        <f t="shared" si="2"/>
        <v>0</v>
      </c>
      <c r="L22" s="1239">
        <f t="shared" si="2"/>
        <v>0</v>
      </c>
      <c r="M22" s="1239">
        <f t="shared" si="3"/>
        <v>0</v>
      </c>
      <c r="N22" s="1239">
        <f>RBBD!I7</f>
        <v>0</v>
      </c>
      <c r="O22" s="1239">
        <f>RBBD!J7</f>
        <v>0</v>
      </c>
      <c r="P22" s="1239">
        <f>RBBD!K7</f>
        <v>0</v>
      </c>
      <c r="Q22" s="1239">
        <f>RBBD!L7</f>
        <v>0</v>
      </c>
      <c r="R22" s="1239">
        <f>RBBD!M7</f>
        <v>0</v>
      </c>
      <c r="S22" s="1239">
        <f>RBBD!N7</f>
        <v>0</v>
      </c>
      <c r="T22" s="1239">
        <f>RBBD!O7</f>
        <v>0</v>
      </c>
      <c r="U22" s="1239">
        <f>RBBD!P7</f>
        <v>0</v>
      </c>
      <c r="V22" s="1239">
        <f>RBBD!Q7</f>
        <v>0</v>
      </c>
      <c r="W22" s="1239">
        <f>RBBD!R7</f>
        <v>0</v>
      </c>
      <c r="X22" s="1239">
        <f>RBBD!S7</f>
        <v>0</v>
      </c>
      <c r="Y22" s="1239">
        <f>RBBD!T7</f>
        <v>0</v>
      </c>
      <c r="Z22" s="65"/>
      <c r="AA22" s="324">
        <f t="shared" si="1"/>
        <v>0</v>
      </c>
    </row>
    <row r="23" spans="2:27" hidden="1">
      <c r="B23" s="1239">
        <f>RBBD!B8</f>
        <v>0</v>
      </c>
      <c r="C23" s="1239">
        <f>RBBD!C8</f>
        <v>0</v>
      </c>
      <c r="D23" s="1239">
        <f>RBBD!D8</f>
        <v>0</v>
      </c>
      <c r="E23" s="1239">
        <f>RBBD!E8</f>
        <v>0</v>
      </c>
      <c r="F23" s="1239">
        <f>RBBD!F8</f>
        <v>0</v>
      </c>
      <c r="G23" s="1239">
        <f>RBBD!G8</f>
        <v>0</v>
      </c>
      <c r="H23" s="1239">
        <f>RBBD!H8</f>
        <v>0</v>
      </c>
      <c r="I23" s="1239">
        <f t="shared" si="2"/>
        <v>0</v>
      </c>
      <c r="J23" s="1239">
        <f t="shared" si="2"/>
        <v>0</v>
      </c>
      <c r="K23" s="1239">
        <f t="shared" si="2"/>
        <v>0</v>
      </c>
      <c r="L23" s="1239">
        <f t="shared" si="2"/>
        <v>0</v>
      </c>
      <c r="M23" s="1239">
        <f t="shared" si="3"/>
        <v>0</v>
      </c>
      <c r="N23" s="1239">
        <f>RBBD!I8</f>
        <v>0</v>
      </c>
      <c r="O23" s="1239">
        <f>RBBD!J8</f>
        <v>0</v>
      </c>
      <c r="P23" s="1239">
        <f>RBBD!K8</f>
        <v>0</v>
      </c>
      <c r="Q23" s="1239">
        <f>RBBD!L8</f>
        <v>0</v>
      </c>
      <c r="R23" s="1239">
        <f>RBBD!M8</f>
        <v>0</v>
      </c>
      <c r="S23" s="1239">
        <f>RBBD!N8</f>
        <v>0</v>
      </c>
      <c r="T23" s="1239">
        <f>RBBD!O8</f>
        <v>0</v>
      </c>
      <c r="U23" s="1239">
        <f>RBBD!P8</f>
        <v>0</v>
      </c>
      <c r="V23" s="1239">
        <f>RBBD!Q8</f>
        <v>0</v>
      </c>
      <c r="W23" s="1239">
        <f>RBBD!R8</f>
        <v>0</v>
      </c>
      <c r="X23" s="1239">
        <f>RBBD!S8</f>
        <v>0</v>
      </c>
      <c r="Y23" s="1239">
        <f>RBBD!T8</f>
        <v>0</v>
      </c>
      <c r="Z23" s="65"/>
      <c r="AA23" s="324">
        <f t="shared" si="1"/>
        <v>0</v>
      </c>
    </row>
    <row r="24" spans="2:27" hidden="1">
      <c r="B24" s="1239">
        <f>RBBD!B9</f>
        <v>0</v>
      </c>
      <c r="C24" s="1239">
        <f>RBBD!C9</f>
        <v>0</v>
      </c>
      <c r="D24" s="1239">
        <f>RBBD!D9</f>
        <v>0</v>
      </c>
      <c r="E24" s="1239">
        <f>RBBD!E9</f>
        <v>0</v>
      </c>
      <c r="F24" s="1239">
        <f>RBBD!F9</f>
        <v>0</v>
      </c>
      <c r="G24" s="1239">
        <f>RBBD!G9</f>
        <v>0</v>
      </c>
      <c r="H24" s="1239">
        <f>RBBD!H9</f>
        <v>0</v>
      </c>
      <c r="I24" s="1239">
        <f t="shared" si="2"/>
        <v>0</v>
      </c>
      <c r="J24" s="1239">
        <f t="shared" si="2"/>
        <v>0</v>
      </c>
      <c r="K24" s="1239">
        <f t="shared" si="2"/>
        <v>0</v>
      </c>
      <c r="L24" s="1239">
        <f t="shared" si="2"/>
        <v>0</v>
      </c>
      <c r="M24" s="1239">
        <f t="shared" si="3"/>
        <v>0</v>
      </c>
      <c r="N24" s="1239">
        <f>RBBD!I9</f>
        <v>0</v>
      </c>
      <c r="O24" s="1239">
        <f>RBBD!J9</f>
        <v>0</v>
      </c>
      <c r="P24" s="1239">
        <f>RBBD!K9</f>
        <v>0</v>
      </c>
      <c r="Q24" s="1239">
        <f>RBBD!L9</f>
        <v>0</v>
      </c>
      <c r="R24" s="1239">
        <f>RBBD!M9</f>
        <v>0</v>
      </c>
      <c r="S24" s="1239">
        <f>RBBD!N9</f>
        <v>0</v>
      </c>
      <c r="T24" s="1239">
        <f>RBBD!O9</f>
        <v>0</v>
      </c>
      <c r="U24" s="1239">
        <f>RBBD!P9</f>
        <v>0</v>
      </c>
      <c r="V24" s="1239">
        <f>RBBD!Q9</f>
        <v>0</v>
      </c>
      <c r="W24" s="1239">
        <f>RBBD!R9</f>
        <v>0</v>
      </c>
      <c r="X24" s="1239">
        <f>RBBD!S9</f>
        <v>0</v>
      </c>
      <c r="Y24" s="1239">
        <f>RBBD!T9</f>
        <v>0</v>
      </c>
      <c r="Z24" s="65"/>
      <c r="AA24" s="324">
        <f t="shared" ref="AA24:AA38" si="4">IF(B24=0,0,1)</f>
        <v>0</v>
      </c>
    </row>
    <row r="25" spans="2:27" hidden="1">
      <c r="B25" s="1239">
        <f>RBBD!B10</f>
        <v>0</v>
      </c>
      <c r="C25" s="1239">
        <f>RBBD!C10</f>
        <v>0</v>
      </c>
      <c r="D25" s="1239">
        <f>RBBD!D10</f>
        <v>0</v>
      </c>
      <c r="E25" s="1239">
        <f>RBBD!E10</f>
        <v>0</v>
      </c>
      <c r="F25" s="1239">
        <f>RBBD!F10</f>
        <v>0</v>
      </c>
      <c r="G25" s="1239">
        <f>RBBD!G10</f>
        <v>0</v>
      </c>
      <c r="H25" s="1239">
        <f>RBBD!H10</f>
        <v>0</v>
      </c>
      <c r="I25" s="1239">
        <f t="shared" si="2"/>
        <v>0</v>
      </c>
      <c r="J25" s="1239">
        <f t="shared" si="2"/>
        <v>0</v>
      </c>
      <c r="K25" s="1239">
        <f t="shared" si="2"/>
        <v>0</v>
      </c>
      <c r="L25" s="1239">
        <f t="shared" si="2"/>
        <v>0</v>
      </c>
      <c r="M25" s="1239">
        <f t="shared" si="3"/>
        <v>0</v>
      </c>
      <c r="N25" s="1239">
        <f>RBBD!I10</f>
        <v>0</v>
      </c>
      <c r="O25" s="1239">
        <f>RBBD!J10</f>
        <v>0</v>
      </c>
      <c r="P25" s="1239">
        <f>RBBD!K10</f>
        <v>0</v>
      </c>
      <c r="Q25" s="1239">
        <f>RBBD!L10</f>
        <v>0</v>
      </c>
      <c r="R25" s="1239">
        <f>RBBD!M10</f>
        <v>0</v>
      </c>
      <c r="S25" s="1239">
        <f>RBBD!N10</f>
        <v>0</v>
      </c>
      <c r="T25" s="1239">
        <f>RBBD!O10</f>
        <v>0</v>
      </c>
      <c r="U25" s="1239">
        <f>RBBD!P10</f>
        <v>0</v>
      </c>
      <c r="V25" s="1239">
        <f>RBBD!Q10</f>
        <v>0</v>
      </c>
      <c r="W25" s="1239">
        <f>RBBD!R10</f>
        <v>0</v>
      </c>
      <c r="X25" s="1239">
        <f>RBBD!S10</f>
        <v>0</v>
      </c>
      <c r="Y25" s="1239">
        <f>RBBD!T10</f>
        <v>0</v>
      </c>
      <c r="Z25" s="65"/>
      <c r="AA25" s="324">
        <f t="shared" si="4"/>
        <v>0</v>
      </c>
    </row>
    <row r="26" spans="2:27" hidden="1">
      <c r="B26" s="1239">
        <f>RBBD!B11</f>
        <v>0</v>
      </c>
      <c r="C26" s="1239">
        <f>RBBD!C11</f>
        <v>0</v>
      </c>
      <c r="D26" s="1239">
        <f>RBBD!D11</f>
        <v>0</v>
      </c>
      <c r="E26" s="1239">
        <f>RBBD!E11</f>
        <v>0</v>
      </c>
      <c r="F26" s="1239">
        <f>RBBD!F11</f>
        <v>0</v>
      </c>
      <c r="G26" s="1239">
        <f>RBBD!G11</f>
        <v>0</v>
      </c>
      <c r="H26" s="1239">
        <f>RBBD!H11</f>
        <v>0</v>
      </c>
      <c r="I26" s="1239">
        <f t="shared" si="2"/>
        <v>0</v>
      </c>
      <c r="J26" s="1239">
        <f t="shared" si="2"/>
        <v>0</v>
      </c>
      <c r="K26" s="1239">
        <f t="shared" si="2"/>
        <v>0</v>
      </c>
      <c r="L26" s="1239">
        <f t="shared" si="2"/>
        <v>0</v>
      </c>
      <c r="M26" s="1239">
        <f t="shared" si="3"/>
        <v>0</v>
      </c>
      <c r="N26" s="1239">
        <f>RBBD!I11</f>
        <v>0</v>
      </c>
      <c r="O26" s="1239">
        <f>RBBD!J11</f>
        <v>0</v>
      </c>
      <c r="P26" s="1239">
        <f>RBBD!K11</f>
        <v>0</v>
      </c>
      <c r="Q26" s="1239">
        <f>RBBD!L11</f>
        <v>0</v>
      </c>
      <c r="R26" s="1239">
        <f>RBBD!M11</f>
        <v>0</v>
      </c>
      <c r="S26" s="1239">
        <f>RBBD!N11</f>
        <v>0</v>
      </c>
      <c r="T26" s="1239">
        <f>RBBD!O11</f>
        <v>0</v>
      </c>
      <c r="U26" s="1239">
        <f>RBBD!P11</f>
        <v>0</v>
      </c>
      <c r="V26" s="1239">
        <f>RBBD!Q11</f>
        <v>0</v>
      </c>
      <c r="W26" s="1239">
        <f>RBBD!R11</f>
        <v>0</v>
      </c>
      <c r="X26" s="1239">
        <f>RBBD!S11</f>
        <v>0</v>
      </c>
      <c r="Y26" s="1239">
        <f>RBBD!T11</f>
        <v>0</v>
      </c>
      <c r="Z26" s="65"/>
      <c r="AA26" s="324">
        <f t="shared" si="4"/>
        <v>0</v>
      </c>
    </row>
    <row r="27" spans="2:27" hidden="1">
      <c r="B27" s="1239">
        <f>RBBD!B12</f>
        <v>0</v>
      </c>
      <c r="C27" s="1239">
        <f>RBBD!C12</f>
        <v>0</v>
      </c>
      <c r="D27" s="1239">
        <f>RBBD!D12</f>
        <v>0</v>
      </c>
      <c r="E27" s="1239">
        <f>RBBD!E12</f>
        <v>0</v>
      </c>
      <c r="F27" s="1239">
        <f>RBBD!F12</f>
        <v>0</v>
      </c>
      <c r="G27" s="1239">
        <f>RBBD!G12</f>
        <v>0</v>
      </c>
      <c r="H27" s="1239">
        <f>RBBD!H12</f>
        <v>0</v>
      </c>
      <c r="I27" s="1239">
        <f t="shared" si="2"/>
        <v>0</v>
      </c>
      <c r="J27" s="1239">
        <f t="shared" si="2"/>
        <v>0</v>
      </c>
      <c r="K27" s="1239">
        <f t="shared" si="2"/>
        <v>0</v>
      </c>
      <c r="L27" s="1239">
        <f t="shared" si="2"/>
        <v>0</v>
      </c>
      <c r="M27" s="1239">
        <f t="shared" si="3"/>
        <v>0</v>
      </c>
      <c r="N27" s="1239">
        <f>RBBD!I12</f>
        <v>0</v>
      </c>
      <c r="O27" s="1239">
        <f>RBBD!J12</f>
        <v>0</v>
      </c>
      <c r="P27" s="1239">
        <f>RBBD!K12</f>
        <v>0</v>
      </c>
      <c r="Q27" s="1239">
        <f>RBBD!L12</f>
        <v>0</v>
      </c>
      <c r="R27" s="1239">
        <f>RBBD!M12</f>
        <v>0</v>
      </c>
      <c r="S27" s="1239">
        <f>RBBD!N12</f>
        <v>0</v>
      </c>
      <c r="T27" s="1239">
        <f>RBBD!O12</f>
        <v>0</v>
      </c>
      <c r="U27" s="1239">
        <f>RBBD!P12</f>
        <v>0</v>
      </c>
      <c r="V27" s="1239">
        <f>RBBD!Q12</f>
        <v>0</v>
      </c>
      <c r="W27" s="1239">
        <f>RBBD!R12</f>
        <v>0</v>
      </c>
      <c r="X27" s="1239">
        <f>RBBD!S12</f>
        <v>0</v>
      </c>
      <c r="Y27" s="1239">
        <f>RBBD!T12</f>
        <v>0</v>
      </c>
      <c r="Z27" s="65"/>
      <c r="AA27" s="324">
        <f t="shared" si="4"/>
        <v>0</v>
      </c>
    </row>
    <row r="28" spans="2:27" hidden="1">
      <c r="B28" s="1239">
        <f>RBBD!B13</f>
        <v>0</v>
      </c>
      <c r="C28" s="1239">
        <f>RBBD!C13</f>
        <v>0</v>
      </c>
      <c r="D28" s="1239">
        <f>RBBD!D13</f>
        <v>0</v>
      </c>
      <c r="E28" s="1239">
        <f>RBBD!G13</f>
        <v>0</v>
      </c>
      <c r="F28" s="1239">
        <f>RBBD!H13</f>
        <v>0</v>
      </c>
      <c r="G28" s="1239">
        <f>RBBD!E13</f>
        <v>0</v>
      </c>
      <c r="H28" s="1239">
        <f>RBBD!F13</f>
        <v>0</v>
      </c>
      <c r="I28" s="1239">
        <f t="shared" si="2"/>
        <v>0</v>
      </c>
      <c r="J28" s="1239">
        <f t="shared" si="2"/>
        <v>0</v>
      </c>
      <c r="K28" s="1239">
        <f t="shared" si="2"/>
        <v>0</v>
      </c>
      <c r="L28" s="1239">
        <f t="shared" si="2"/>
        <v>0</v>
      </c>
      <c r="M28" s="1239">
        <f t="shared" si="3"/>
        <v>0</v>
      </c>
      <c r="N28" s="1239">
        <f>RBBD!I13</f>
        <v>0</v>
      </c>
      <c r="O28" s="1239">
        <f>RBBD!J13</f>
        <v>0</v>
      </c>
      <c r="P28" s="1239">
        <f>RBBD!K13</f>
        <v>0</v>
      </c>
      <c r="Q28" s="1239">
        <f>RBBD!L13</f>
        <v>0</v>
      </c>
      <c r="R28" s="1239">
        <f>RBBD!M13</f>
        <v>0</v>
      </c>
      <c r="S28" s="1239">
        <f>RBBD!N13</f>
        <v>0</v>
      </c>
      <c r="T28" s="1239">
        <f>RBBD!O13</f>
        <v>0</v>
      </c>
      <c r="U28" s="1239">
        <f>RBBD!P13</f>
        <v>0</v>
      </c>
      <c r="V28" s="1239">
        <f>RBBD!Q13</f>
        <v>0</v>
      </c>
      <c r="W28" s="1239">
        <f>RBBD!R13</f>
        <v>0</v>
      </c>
      <c r="X28" s="1239">
        <f>RBBD!S13</f>
        <v>0</v>
      </c>
      <c r="Y28" s="1239">
        <f>RBBD!T13</f>
        <v>0</v>
      </c>
      <c r="Z28" s="65"/>
      <c r="AA28" s="324">
        <f t="shared" si="4"/>
        <v>0</v>
      </c>
    </row>
    <row r="29" spans="2:27" hidden="1">
      <c r="B29" s="1239">
        <f>RBBD!B14</f>
        <v>0</v>
      </c>
      <c r="C29" s="1239">
        <f>RBBD!C14</f>
        <v>0</v>
      </c>
      <c r="D29" s="1239">
        <f>RBBD!D14</f>
        <v>0</v>
      </c>
      <c r="E29" s="1239">
        <f>RBBD!G14</f>
        <v>0</v>
      </c>
      <c r="F29" s="1239">
        <f>RBBD!H14</f>
        <v>0</v>
      </c>
      <c r="G29" s="1239">
        <f>RBBD!E14</f>
        <v>0</v>
      </c>
      <c r="H29" s="1239">
        <f>RBBD!F14</f>
        <v>0</v>
      </c>
      <c r="I29" s="1239">
        <f t="shared" si="2"/>
        <v>0</v>
      </c>
      <c r="J29" s="1239">
        <f t="shared" si="2"/>
        <v>0</v>
      </c>
      <c r="K29" s="1239">
        <f t="shared" si="2"/>
        <v>0</v>
      </c>
      <c r="L29" s="1239">
        <f t="shared" si="2"/>
        <v>0</v>
      </c>
      <c r="M29" s="1239">
        <f t="shared" si="3"/>
        <v>0</v>
      </c>
      <c r="N29" s="1239">
        <f>RBBD!I14</f>
        <v>0</v>
      </c>
      <c r="O29" s="1239">
        <f>RBBD!J14</f>
        <v>0</v>
      </c>
      <c r="P29" s="1239">
        <f>RBBD!K14</f>
        <v>0</v>
      </c>
      <c r="Q29" s="1239">
        <f>RBBD!L14</f>
        <v>0</v>
      </c>
      <c r="R29" s="1239">
        <f>RBBD!M14</f>
        <v>0</v>
      </c>
      <c r="S29" s="1239">
        <f>RBBD!N14</f>
        <v>0</v>
      </c>
      <c r="T29" s="1239">
        <f>RBBD!O14</f>
        <v>0</v>
      </c>
      <c r="U29" s="1239">
        <f>RBBD!P14</f>
        <v>0</v>
      </c>
      <c r="V29" s="1239">
        <f>RBBD!Q14</f>
        <v>0</v>
      </c>
      <c r="W29" s="1239">
        <f>RBBD!R14</f>
        <v>0</v>
      </c>
      <c r="X29" s="1239">
        <f>RBBD!S14</f>
        <v>0</v>
      </c>
      <c r="Y29" s="1239">
        <f>RBBD!T14</f>
        <v>0</v>
      </c>
      <c r="Z29" s="65"/>
      <c r="AA29" s="324">
        <f t="shared" si="4"/>
        <v>0</v>
      </c>
    </row>
    <row r="30" spans="2:27" hidden="1">
      <c r="B30" s="1239">
        <f>RBBD!B15</f>
        <v>0</v>
      </c>
      <c r="C30" s="1239">
        <f>RBBD!C15</f>
        <v>0</v>
      </c>
      <c r="D30" s="1239">
        <f>RBBD!D15</f>
        <v>0</v>
      </c>
      <c r="E30" s="1239">
        <f>RBBD!G15</f>
        <v>0</v>
      </c>
      <c r="F30" s="1239">
        <f>RBBD!H15</f>
        <v>0</v>
      </c>
      <c r="G30" s="1239">
        <f>RBBD!E15</f>
        <v>0</v>
      </c>
      <c r="H30" s="1239">
        <f>RBBD!F15</f>
        <v>0</v>
      </c>
      <c r="I30" s="1239">
        <f t="shared" si="2"/>
        <v>0</v>
      </c>
      <c r="J30" s="1239">
        <f t="shared" si="2"/>
        <v>0</v>
      </c>
      <c r="K30" s="1239">
        <f t="shared" si="2"/>
        <v>0</v>
      </c>
      <c r="L30" s="1239">
        <f t="shared" si="2"/>
        <v>0</v>
      </c>
      <c r="M30" s="1239">
        <f t="shared" si="3"/>
        <v>0</v>
      </c>
      <c r="N30" s="1239">
        <f>RBBD!I15</f>
        <v>0</v>
      </c>
      <c r="O30" s="1239">
        <f>RBBD!J15</f>
        <v>0</v>
      </c>
      <c r="P30" s="1239">
        <f>RBBD!K15</f>
        <v>0</v>
      </c>
      <c r="Q30" s="1239">
        <f>RBBD!L15</f>
        <v>0</v>
      </c>
      <c r="R30" s="1239">
        <f>RBBD!M15</f>
        <v>0</v>
      </c>
      <c r="S30" s="1239">
        <f>RBBD!N15</f>
        <v>0</v>
      </c>
      <c r="T30" s="1239">
        <f>RBBD!O15</f>
        <v>0</v>
      </c>
      <c r="U30" s="1239">
        <f>RBBD!P15</f>
        <v>0</v>
      </c>
      <c r="V30" s="1239">
        <f>RBBD!Q15</f>
        <v>0</v>
      </c>
      <c r="W30" s="1239">
        <f>RBBD!R15</f>
        <v>0</v>
      </c>
      <c r="X30" s="1239">
        <f>RBBD!S15</f>
        <v>0</v>
      </c>
      <c r="Y30" s="1239">
        <f>RBBD!T15</f>
        <v>0</v>
      </c>
      <c r="Z30" s="65"/>
      <c r="AA30" s="324">
        <f t="shared" si="4"/>
        <v>0</v>
      </c>
    </row>
    <row r="31" spans="2:27" hidden="1">
      <c r="B31" s="1239">
        <f>RBBD!B16</f>
        <v>0</v>
      </c>
      <c r="C31" s="1239">
        <f>RBBD!C16</f>
        <v>0</v>
      </c>
      <c r="D31" s="1239">
        <f>RBBD!D16</f>
        <v>0</v>
      </c>
      <c r="E31" s="1239">
        <f>RBBD!G16</f>
        <v>0</v>
      </c>
      <c r="F31" s="1239">
        <f>RBBD!H16</f>
        <v>0</v>
      </c>
      <c r="G31" s="1239">
        <f>RBBD!E16</f>
        <v>0</v>
      </c>
      <c r="H31" s="1239">
        <f>RBBD!F16</f>
        <v>0</v>
      </c>
      <c r="I31" s="1239">
        <f t="shared" si="2"/>
        <v>0</v>
      </c>
      <c r="J31" s="1239">
        <f t="shared" si="2"/>
        <v>0</v>
      </c>
      <c r="K31" s="1239">
        <f t="shared" si="2"/>
        <v>0</v>
      </c>
      <c r="L31" s="1239">
        <f t="shared" si="2"/>
        <v>0</v>
      </c>
      <c r="M31" s="1239">
        <f t="shared" si="3"/>
        <v>0</v>
      </c>
      <c r="N31" s="1239">
        <f>RBBD!I16</f>
        <v>0</v>
      </c>
      <c r="O31" s="1239">
        <f>RBBD!J16</f>
        <v>0</v>
      </c>
      <c r="P31" s="1239">
        <f>RBBD!K16</f>
        <v>0</v>
      </c>
      <c r="Q31" s="1239">
        <f>RBBD!L16</f>
        <v>0</v>
      </c>
      <c r="R31" s="1239">
        <f>RBBD!M16</f>
        <v>0</v>
      </c>
      <c r="S31" s="1239">
        <f>RBBD!N16</f>
        <v>0</v>
      </c>
      <c r="T31" s="1239">
        <f>RBBD!O16</f>
        <v>0</v>
      </c>
      <c r="U31" s="1239">
        <f>RBBD!P16</f>
        <v>0</v>
      </c>
      <c r="V31" s="1239">
        <f>RBBD!Q16</f>
        <v>0</v>
      </c>
      <c r="W31" s="1239">
        <f>RBBD!R16</f>
        <v>0</v>
      </c>
      <c r="X31" s="1239">
        <f>RBBD!S16</f>
        <v>0</v>
      </c>
      <c r="Y31" s="1239">
        <f>RBBD!T16</f>
        <v>0</v>
      </c>
      <c r="Z31" s="65"/>
      <c r="AA31" s="324">
        <f t="shared" si="4"/>
        <v>0</v>
      </c>
    </row>
    <row r="32" spans="2:27" hidden="1">
      <c r="B32" s="1239">
        <f>RBBD!B17</f>
        <v>0</v>
      </c>
      <c r="C32" s="1239">
        <f>RBBD!C17</f>
        <v>0</v>
      </c>
      <c r="D32" s="1239">
        <f>RBBD!D17</f>
        <v>0</v>
      </c>
      <c r="E32" s="1239">
        <f>RBBD!G17</f>
        <v>0</v>
      </c>
      <c r="F32" s="1239">
        <f>RBBD!H17</f>
        <v>0</v>
      </c>
      <c r="G32" s="1239">
        <f>RBBD!E17</f>
        <v>0</v>
      </c>
      <c r="H32" s="1239">
        <f>RBBD!F17</f>
        <v>0</v>
      </c>
      <c r="I32" s="1239">
        <f t="shared" si="2"/>
        <v>0</v>
      </c>
      <c r="J32" s="1239">
        <f t="shared" si="2"/>
        <v>0</v>
      </c>
      <c r="K32" s="1239">
        <f t="shared" si="2"/>
        <v>0</v>
      </c>
      <c r="L32" s="1239">
        <f t="shared" si="2"/>
        <v>0</v>
      </c>
      <c r="M32" s="1239">
        <f t="shared" si="3"/>
        <v>0</v>
      </c>
      <c r="N32" s="1239">
        <f>RBBD!I17</f>
        <v>0</v>
      </c>
      <c r="O32" s="1239">
        <f>RBBD!J17</f>
        <v>0</v>
      </c>
      <c r="P32" s="1239">
        <f>RBBD!K17</f>
        <v>0</v>
      </c>
      <c r="Q32" s="1239">
        <f>RBBD!L17</f>
        <v>0</v>
      </c>
      <c r="R32" s="1239">
        <f>RBBD!M17</f>
        <v>0</v>
      </c>
      <c r="S32" s="1239">
        <f>RBBD!N17</f>
        <v>0</v>
      </c>
      <c r="T32" s="1239">
        <f>RBBD!O17</f>
        <v>0</v>
      </c>
      <c r="U32" s="1239">
        <f>RBBD!P17</f>
        <v>0</v>
      </c>
      <c r="V32" s="1239">
        <f>RBBD!Q17</f>
        <v>0</v>
      </c>
      <c r="W32" s="1239">
        <f>RBBD!R17</f>
        <v>0</v>
      </c>
      <c r="X32" s="1239">
        <f>RBBD!S17</f>
        <v>0</v>
      </c>
      <c r="Y32" s="1239">
        <f>RBBD!T17</f>
        <v>0</v>
      </c>
      <c r="Z32" s="65"/>
      <c r="AA32" s="324">
        <f t="shared" si="4"/>
        <v>0</v>
      </c>
    </row>
    <row r="33" spans="2:27" hidden="1">
      <c r="B33" s="1239">
        <f>RBBD!B18</f>
        <v>0</v>
      </c>
      <c r="C33" s="1239">
        <f>RBBD!C18</f>
        <v>0</v>
      </c>
      <c r="D33" s="1239">
        <f>RBBD!D18</f>
        <v>0</v>
      </c>
      <c r="E33" s="1239">
        <f>RBBD!G18</f>
        <v>0</v>
      </c>
      <c r="F33" s="1239">
        <f>RBBD!H18</f>
        <v>0</v>
      </c>
      <c r="G33" s="1239">
        <f>RBBD!E18</f>
        <v>0</v>
      </c>
      <c r="H33" s="1239">
        <f>RBBD!F18</f>
        <v>0</v>
      </c>
      <c r="I33" s="1239">
        <f t="shared" si="2"/>
        <v>0</v>
      </c>
      <c r="J33" s="1239">
        <f t="shared" si="2"/>
        <v>0</v>
      </c>
      <c r="K33" s="1239">
        <f t="shared" si="2"/>
        <v>0</v>
      </c>
      <c r="L33" s="1239">
        <f t="shared" si="2"/>
        <v>0</v>
      </c>
      <c r="M33" s="1239">
        <f t="shared" si="3"/>
        <v>0</v>
      </c>
      <c r="N33" s="1239">
        <f>RBBD!I18</f>
        <v>0</v>
      </c>
      <c r="O33" s="1239">
        <f>RBBD!J18</f>
        <v>0</v>
      </c>
      <c r="P33" s="1239">
        <f>RBBD!K18</f>
        <v>0</v>
      </c>
      <c r="Q33" s="1239">
        <f>RBBD!L18</f>
        <v>0</v>
      </c>
      <c r="R33" s="1239">
        <f>RBBD!M18</f>
        <v>0</v>
      </c>
      <c r="S33" s="1239">
        <f>RBBD!N18</f>
        <v>0</v>
      </c>
      <c r="T33" s="1239">
        <f>RBBD!O18</f>
        <v>0</v>
      </c>
      <c r="U33" s="1239">
        <f>RBBD!P18</f>
        <v>0</v>
      </c>
      <c r="V33" s="1239">
        <f>RBBD!Q18</f>
        <v>0</v>
      </c>
      <c r="W33" s="1239">
        <f>RBBD!R18</f>
        <v>0</v>
      </c>
      <c r="X33" s="1239">
        <f>RBBD!S18</f>
        <v>0</v>
      </c>
      <c r="Y33" s="1239">
        <f>RBBD!T18</f>
        <v>0</v>
      </c>
      <c r="Z33" s="65"/>
      <c r="AA33" s="324">
        <f t="shared" si="4"/>
        <v>0</v>
      </c>
    </row>
    <row r="34" spans="2:27" hidden="1">
      <c r="B34" s="1239">
        <f>RBBD!B19</f>
        <v>0</v>
      </c>
      <c r="C34" s="1239">
        <f>RBBD!C19</f>
        <v>0</v>
      </c>
      <c r="D34" s="1239">
        <f>RBBD!D19</f>
        <v>0</v>
      </c>
      <c r="E34" s="1239">
        <f>RBBD!G19</f>
        <v>0</v>
      </c>
      <c r="F34" s="1239">
        <f>RBBD!H19</f>
        <v>0</v>
      </c>
      <c r="G34" s="1239">
        <f>RBBD!E19</f>
        <v>0</v>
      </c>
      <c r="H34" s="1239">
        <f>RBBD!F19</f>
        <v>0</v>
      </c>
      <c r="I34" s="1239">
        <f t="shared" si="2"/>
        <v>0</v>
      </c>
      <c r="J34" s="1239">
        <f t="shared" si="2"/>
        <v>0</v>
      </c>
      <c r="K34" s="1239">
        <f t="shared" si="2"/>
        <v>0</v>
      </c>
      <c r="L34" s="1239">
        <f t="shared" si="2"/>
        <v>0</v>
      </c>
      <c r="M34" s="1239">
        <f t="shared" si="3"/>
        <v>0</v>
      </c>
      <c r="N34" s="1239">
        <f>RBBD!I19</f>
        <v>0</v>
      </c>
      <c r="O34" s="1239">
        <f>RBBD!J19</f>
        <v>0</v>
      </c>
      <c r="P34" s="1239">
        <f>RBBD!K19</f>
        <v>0</v>
      </c>
      <c r="Q34" s="1239">
        <f>RBBD!L19</f>
        <v>0</v>
      </c>
      <c r="R34" s="1239">
        <f>RBBD!M19</f>
        <v>0</v>
      </c>
      <c r="S34" s="1239">
        <f>RBBD!N19</f>
        <v>0</v>
      </c>
      <c r="T34" s="1239">
        <f>RBBD!O19</f>
        <v>0</v>
      </c>
      <c r="U34" s="1239">
        <f>RBBD!P19</f>
        <v>0</v>
      </c>
      <c r="V34" s="1239">
        <f>RBBD!Q19</f>
        <v>0</v>
      </c>
      <c r="W34" s="1239">
        <f>RBBD!R19</f>
        <v>0</v>
      </c>
      <c r="X34" s="1239">
        <f>RBBD!S19</f>
        <v>0</v>
      </c>
      <c r="Y34" s="1239">
        <f>RBBD!T19</f>
        <v>0</v>
      </c>
      <c r="Z34" s="65"/>
      <c r="AA34" s="324">
        <f t="shared" si="4"/>
        <v>0</v>
      </c>
    </row>
    <row r="35" spans="2:27" hidden="1">
      <c r="B35" s="1239">
        <f>RBBD!B20</f>
        <v>0</v>
      </c>
      <c r="C35" s="1239">
        <f>RBBD!C20</f>
        <v>0</v>
      </c>
      <c r="D35" s="1239">
        <f>RBBD!D20</f>
        <v>0</v>
      </c>
      <c r="E35" s="1239">
        <f>RBBD!G20</f>
        <v>0</v>
      </c>
      <c r="F35" s="1239">
        <f>RBBD!H20</f>
        <v>0</v>
      </c>
      <c r="G35" s="1239">
        <f>RBBD!E20</f>
        <v>0</v>
      </c>
      <c r="H35" s="1239">
        <f>RBBD!F20</f>
        <v>0</v>
      </c>
      <c r="I35" s="1239">
        <f t="shared" si="2"/>
        <v>0</v>
      </c>
      <c r="J35" s="1239">
        <f t="shared" si="2"/>
        <v>0</v>
      </c>
      <c r="K35" s="1239">
        <f t="shared" si="2"/>
        <v>0</v>
      </c>
      <c r="L35" s="1239">
        <f t="shared" si="2"/>
        <v>0</v>
      </c>
      <c r="M35" s="1239">
        <f t="shared" si="3"/>
        <v>0</v>
      </c>
      <c r="N35" s="1239">
        <f>RBBD!I20</f>
        <v>0</v>
      </c>
      <c r="O35" s="1239">
        <f>RBBD!J20</f>
        <v>0</v>
      </c>
      <c r="P35" s="1239">
        <f>RBBD!K20</f>
        <v>0</v>
      </c>
      <c r="Q35" s="1239">
        <f>RBBD!L20</f>
        <v>0</v>
      </c>
      <c r="R35" s="1239">
        <f>RBBD!M20</f>
        <v>0</v>
      </c>
      <c r="S35" s="1239">
        <f>RBBD!N20</f>
        <v>0</v>
      </c>
      <c r="T35" s="1239">
        <f>RBBD!O20</f>
        <v>0</v>
      </c>
      <c r="U35" s="1239">
        <f>RBBD!P20</f>
        <v>0</v>
      </c>
      <c r="V35" s="1239">
        <f>RBBD!Q20</f>
        <v>0</v>
      </c>
      <c r="W35" s="1239">
        <f>RBBD!R20</f>
        <v>0</v>
      </c>
      <c r="X35" s="1239">
        <f>RBBD!S20</f>
        <v>0</v>
      </c>
      <c r="Y35" s="1239">
        <f>RBBD!T20</f>
        <v>0</v>
      </c>
      <c r="Z35" s="65"/>
      <c r="AA35" s="324">
        <f t="shared" si="4"/>
        <v>0</v>
      </c>
    </row>
    <row r="36" spans="2:27" hidden="1">
      <c r="B36" s="1239">
        <f>RBBD!B21</f>
        <v>0</v>
      </c>
      <c r="C36" s="1239">
        <f>RBBD!C21</f>
        <v>0</v>
      </c>
      <c r="D36" s="1239">
        <f>RBBD!D21</f>
        <v>0</v>
      </c>
      <c r="E36" s="1239">
        <f>RBBD!G21</f>
        <v>0</v>
      </c>
      <c r="F36" s="1239">
        <f>RBBD!H21</f>
        <v>0</v>
      </c>
      <c r="G36" s="1239">
        <f>RBBD!E21</f>
        <v>0</v>
      </c>
      <c r="H36" s="1239">
        <f>RBBD!F21</f>
        <v>0</v>
      </c>
      <c r="I36" s="1239">
        <f t="shared" si="2"/>
        <v>0</v>
      </c>
      <c r="J36" s="1239">
        <f t="shared" si="2"/>
        <v>0</v>
      </c>
      <c r="K36" s="1239">
        <f t="shared" si="2"/>
        <v>0</v>
      </c>
      <c r="L36" s="1239">
        <f t="shared" si="2"/>
        <v>0</v>
      </c>
      <c r="M36" s="1239">
        <f t="shared" si="3"/>
        <v>0</v>
      </c>
      <c r="N36" s="1239">
        <f>RBBD!I21</f>
        <v>0</v>
      </c>
      <c r="O36" s="1239">
        <f>RBBD!J21</f>
        <v>0</v>
      </c>
      <c r="P36" s="1239">
        <f>RBBD!K21</f>
        <v>0</v>
      </c>
      <c r="Q36" s="1239">
        <f>RBBD!L21</f>
        <v>0</v>
      </c>
      <c r="R36" s="1239">
        <f>RBBD!M21</f>
        <v>0</v>
      </c>
      <c r="S36" s="1239">
        <f>RBBD!N21</f>
        <v>0</v>
      </c>
      <c r="T36" s="1239">
        <f>RBBD!O21</f>
        <v>0</v>
      </c>
      <c r="U36" s="1239">
        <f>RBBD!P21</f>
        <v>0</v>
      </c>
      <c r="V36" s="1239">
        <f>RBBD!Q21</f>
        <v>0</v>
      </c>
      <c r="W36" s="1239">
        <f>RBBD!R21</f>
        <v>0</v>
      </c>
      <c r="X36" s="1239">
        <f>RBBD!S21</f>
        <v>0</v>
      </c>
      <c r="Y36" s="1239">
        <f>RBBD!T21</f>
        <v>0</v>
      </c>
      <c r="Z36" s="65"/>
      <c r="AA36" s="324">
        <f t="shared" si="4"/>
        <v>0</v>
      </c>
    </row>
    <row r="37" spans="2:27" hidden="1">
      <c r="B37" s="1239">
        <f>RBBD!B22</f>
        <v>0</v>
      </c>
      <c r="C37" s="1239">
        <f>RBBD!C22</f>
        <v>0</v>
      </c>
      <c r="D37" s="1239">
        <f>RBBD!D22</f>
        <v>0</v>
      </c>
      <c r="E37" s="1239">
        <f>RBBD!G22</f>
        <v>0</v>
      </c>
      <c r="F37" s="1239">
        <f>RBBD!H22</f>
        <v>0</v>
      </c>
      <c r="G37" s="1239">
        <f>RBBD!E22</f>
        <v>0</v>
      </c>
      <c r="H37" s="1239">
        <f>RBBD!F22</f>
        <v>0</v>
      </c>
      <c r="I37" s="1239">
        <f t="shared" si="2"/>
        <v>0</v>
      </c>
      <c r="J37" s="1239">
        <f t="shared" si="2"/>
        <v>0</v>
      </c>
      <c r="K37" s="1239">
        <f t="shared" si="2"/>
        <v>0</v>
      </c>
      <c r="L37" s="1239">
        <f t="shared" si="2"/>
        <v>0</v>
      </c>
      <c r="M37" s="1239">
        <f t="shared" si="3"/>
        <v>0</v>
      </c>
      <c r="N37" s="1239">
        <f>RBBD!I22</f>
        <v>0</v>
      </c>
      <c r="O37" s="1239">
        <f>RBBD!J22</f>
        <v>0</v>
      </c>
      <c r="P37" s="1239">
        <f>RBBD!K22</f>
        <v>0</v>
      </c>
      <c r="Q37" s="1239">
        <f>RBBD!L22</f>
        <v>0</v>
      </c>
      <c r="R37" s="1239">
        <f>RBBD!M22</f>
        <v>0</v>
      </c>
      <c r="S37" s="1239">
        <f>RBBD!N22</f>
        <v>0</v>
      </c>
      <c r="T37" s="1239">
        <f>RBBD!O22</f>
        <v>0</v>
      </c>
      <c r="U37" s="1239">
        <f>RBBD!P22</f>
        <v>0</v>
      </c>
      <c r="V37" s="1239">
        <f>RBBD!Q22</f>
        <v>0</v>
      </c>
      <c r="W37" s="1239">
        <f>RBBD!R22</f>
        <v>0</v>
      </c>
      <c r="X37" s="1239">
        <f>RBBD!S22</f>
        <v>0</v>
      </c>
      <c r="Y37" s="1239">
        <f>RBBD!T22</f>
        <v>0</v>
      </c>
      <c r="Z37" s="65"/>
      <c r="AA37" s="324">
        <f t="shared" si="4"/>
        <v>0</v>
      </c>
    </row>
    <row r="38" spans="2:27" hidden="1">
      <c r="B38" s="1239">
        <f>RBBD!B23</f>
        <v>0</v>
      </c>
      <c r="C38" s="1239">
        <f>RBBD!C23</f>
        <v>0</v>
      </c>
      <c r="D38" s="1239">
        <f>RBBD!D23</f>
        <v>0</v>
      </c>
      <c r="E38" s="1239">
        <f>RBBD!G23</f>
        <v>0</v>
      </c>
      <c r="F38" s="1239">
        <f>RBBD!H23</f>
        <v>0</v>
      </c>
      <c r="G38" s="1239">
        <f>RBBD!E23</f>
        <v>0</v>
      </c>
      <c r="H38" s="1239">
        <f>RBBD!F23</f>
        <v>0</v>
      </c>
      <c r="I38" s="1239">
        <f t="shared" si="2"/>
        <v>0</v>
      </c>
      <c r="J38" s="1239">
        <f t="shared" si="2"/>
        <v>0</v>
      </c>
      <c r="K38" s="1239">
        <f t="shared" si="2"/>
        <v>0</v>
      </c>
      <c r="L38" s="1239">
        <f t="shared" si="2"/>
        <v>0</v>
      </c>
      <c r="M38" s="1239">
        <f t="shared" si="3"/>
        <v>0</v>
      </c>
      <c r="N38" s="1239">
        <f>RBBD!I23</f>
        <v>0</v>
      </c>
      <c r="O38" s="1239">
        <f>RBBD!J23</f>
        <v>0</v>
      </c>
      <c r="P38" s="1239">
        <f>RBBD!K23</f>
        <v>0</v>
      </c>
      <c r="Q38" s="1239">
        <f>RBBD!L23</f>
        <v>0</v>
      </c>
      <c r="R38" s="1239">
        <f>RBBD!M23</f>
        <v>0</v>
      </c>
      <c r="S38" s="1239">
        <f>RBBD!N23</f>
        <v>0</v>
      </c>
      <c r="T38" s="1239">
        <f>RBBD!O23</f>
        <v>0</v>
      </c>
      <c r="U38" s="1239">
        <f>RBBD!P23</f>
        <v>0</v>
      </c>
      <c r="V38" s="1239">
        <f>RBBD!Q23</f>
        <v>0</v>
      </c>
      <c r="W38" s="1239">
        <f>RBBD!R23</f>
        <v>0</v>
      </c>
      <c r="X38" s="1239">
        <f>RBBD!S23</f>
        <v>0</v>
      </c>
      <c r="Y38" s="1239">
        <f>RBBD!T23</f>
        <v>0</v>
      </c>
      <c r="Z38" s="65"/>
      <c r="AA38" s="324">
        <f t="shared" si="4"/>
        <v>0</v>
      </c>
    </row>
    <row r="39" spans="2:27" hidden="1">
      <c r="B39" s="1239">
        <f>RBBD!B24</f>
        <v>0</v>
      </c>
      <c r="C39" s="1239">
        <f>RBBD!C24</f>
        <v>0</v>
      </c>
      <c r="D39" s="1239">
        <f>RBBD!D24</f>
        <v>0</v>
      </c>
      <c r="E39" s="1239">
        <f>RBBD!G24</f>
        <v>0</v>
      </c>
      <c r="F39" s="1239">
        <f>RBBD!H24</f>
        <v>0</v>
      </c>
      <c r="G39" s="1239">
        <f>RBBD!E24</f>
        <v>0</v>
      </c>
      <c r="H39" s="1239">
        <f>RBBD!F24</f>
        <v>0</v>
      </c>
      <c r="I39" s="1239">
        <f t="shared" si="2"/>
        <v>0</v>
      </c>
      <c r="J39" s="1239">
        <f t="shared" si="2"/>
        <v>0</v>
      </c>
      <c r="K39" s="1239">
        <f t="shared" si="2"/>
        <v>0</v>
      </c>
      <c r="L39" s="1239">
        <f t="shared" si="2"/>
        <v>0</v>
      </c>
      <c r="M39" s="1239">
        <f t="shared" si="3"/>
        <v>0</v>
      </c>
      <c r="N39" s="1239">
        <f>RBBD!I24</f>
        <v>0</v>
      </c>
      <c r="O39" s="1239">
        <f>RBBD!J24</f>
        <v>0</v>
      </c>
      <c r="P39" s="1239">
        <f>RBBD!K24</f>
        <v>0</v>
      </c>
      <c r="Q39" s="1239">
        <f>RBBD!L24</f>
        <v>0</v>
      </c>
      <c r="R39" s="1239">
        <f>RBBD!M24</f>
        <v>0</v>
      </c>
      <c r="S39" s="1239">
        <f>RBBD!N24</f>
        <v>0</v>
      </c>
      <c r="T39" s="1239">
        <f>RBBD!O24</f>
        <v>0</v>
      </c>
      <c r="U39" s="1239">
        <f>RBBD!P24</f>
        <v>0</v>
      </c>
      <c r="V39" s="1239">
        <f>RBBD!Q24</f>
        <v>0</v>
      </c>
      <c r="W39" s="1239">
        <f>RBBD!R24</f>
        <v>0</v>
      </c>
      <c r="X39" s="1239">
        <f>RBBD!S24</f>
        <v>0</v>
      </c>
      <c r="Y39" s="1239">
        <f>RBBD!T24</f>
        <v>0</v>
      </c>
      <c r="Z39" s="65"/>
      <c r="AA39" s="324">
        <f t="shared" ref="AA39:AA60" si="5">IF(B39=0,0,1)</f>
        <v>0</v>
      </c>
    </row>
    <row r="40" spans="2:27" hidden="1">
      <c r="B40" s="1239">
        <f>RBBD!B25</f>
        <v>0</v>
      </c>
      <c r="C40" s="1239">
        <f>RBBD!C25</f>
        <v>0</v>
      </c>
      <c r="D40" s="1239">
        <f>RBBD!D25</f>
        <v>0</v>
      </c>
      <c r="E40" s="1239">
        <f>RBBD!G25</f>
        <v>0</v>
      </c>
      <c r="F40" s="1239">
        <f>RBBD!H25</f>
        <v>0</v>
      </c>
      <c r="G40" s="1239">
        <f>RBBD!E25</f>
        <v>0</v>
      </c>
      <c r="H40" s="1239">
        <f>RBBD!F25</f>
        <v>0</v>
      </c>
      <c r="I40" s="1239">
        <f t="shared" si="2"/>
        <v>0</v>
      </c>
      <c r="J40" s="1239">
        <f t="shared" si="2"/>
        <v>0</v>
      </c>
      <c r="K40" s="1239">
        <f t="shared" si="2"/>
        <v>0</v>
      </c>
      <c r="L40" s="1239">
        <f t="shared" si="2"/>
        <v>0</v>
      </c>
      <c r="M40" s="1239">
        <f t="shared" si="3"/>
        <v>0</v>
      </c>
      <c r="N40" s="1239">
        <f>RBBD!I25</f>
        <v>0</v>
      </c>
      <c r="O40" s="1239">
        <f>RBBD!J25</f>
        <v>0</v>
      </c>
      <c r="P40" s="1239">
        <f>RBBD!K25</f>
        <v>0</v>
      </c>
      <c r="Q40" s="1239">
        <f>RBBD!L25</f>
        <v>0</v>
      </c>
      <c r="R40" s="1239">
        <f>RBBD!M25</f>
        <v>0</v>
      </c>
      <c r="S40" s="1239">
        <f>RBBD!N25</f>
        <v>0</v>
      </c>
      <c r="T40" s="1239">
        <f>RBBD!O25</f>
        <v>0</v>
      </c>
      <c r="U40" s="1239">
        <f>RBBD!P25</f>
        <v>0</v>
      </c>
      <c r="V40" s="1239">
        <f>RBBD!Q25</f>
        <v>0</v>
      </c>
      <c r="W40" s="1239">
        <f>RBBD!R25</f>
        <v>0</v>
      </c>
      <c r="X40" s="1239">
        <f>RBBD!S25</f>
        <v>0</v>
      </c>
      <c r="Y40" s="1239">
        <f>RBBD!T25</f>
        <v>0</v>
      </c>
      <c r="Z40" s="65"/>
      <c r="AA40" s="324">
        <f t="shared" si="5"/>
        <v>0</v>
      </c>
    </row>
    <row r="41" spans="2:27" hidden="1">
      <c r="B41" s="1239">
        <f>RBBD!B26</f>
        <v>0</v>
      </c>
      <c r="C41" s="1239">
        <f>RBBD!C26</f>
        <v>0</v>
      </c>
      <c r="D41" s="1239">
        <f>RBBD!D26</f>
        <v>0</v>
      </c>
      <c r="E41" s="1239">
        <f>RBBD!G26</f>
        <v>0</v>
      </c>
      <c r="F41" s="1239">
        <f>RBBD!H26</f>
        <v>0</v>
      </c>
      <c r="G41" s="1239">
        <f>RBBD!E26</f>
        <v>0</v>
      </c>
      <c r="H41" s="1239">
        <f>RBBD!F26</f>
        <v>0</v>
      </c>
      <c r="I41" s="1239">
        <f t="shared" si="2"/>
        <v>0</v>
      </c>
      <c r="J41" s="1239">
        <f t="shared" si="2"/>
        <v>0</v>
      </c>
      <c r="K41" s="1239">
        <f t="shared" si="2"/>
        <v>0</v>
      </c>
      <c r="L41" s="1239">
        <f t="shared" si="2"/>
        <v>0</v>
      </c>
      <c r="M41" s="1239">
        <f t="shared" si="3"/>
        <v>0</v>
      </c>
      <c r="N41" s="1239">
        <f>RBBD!I26</f>
        <v>0</v>
      </c>
      <c r="O41" s="1239">
        <f>RBBD!J26</f>
        <v>0</v>
      </c>
      <c r="P41" s="1239">
        <f>RBBD!K26</f>
        <v>0</v>
      </c>
      <c r="Q41" s="1239">
        <f>RBBD!L26</f>
        <v>0</v>
      </c>
      <c r="R41" s="1239">
        <f>RBBD!M26</f>
        <v>0</v>
      </c>
      <c r="S41" s="1239">
        <f>RBBD!N26</f>
        <v>0</v>
      </c>
      <c r="T41" s="1239">
        <f>RBBD!O26</f>
        <v>0</v>
      </c>
      <c r="U41" s="1239">
        <f>RBBD!P26</f>
        <v>0</v>
      </c>
      <c r="V41" s="1239">
        <f>RBBD!Q26</f>
        <v>0</v>
      </c>
      <c r="W41" s="1239">
        <f>RBBD!R26</f>
        <v>0</v>
      </c>
      <c r="X41" s="1239">
        <f>RBBD!S26</f>
        <v>0</v>
      </c>
      <c r="Y41" s="1239">
        <f>RBBD!T26</f>
        <v>0</v>
      </c>
      <c r="Z41" s="65"/>
      <c r="AA41" s="324">
        <f t="shared" si="5"/>
        <v>0</v>
      </c>
    </row>
    <row r="42" spans="2:27" hidden="1">
      <c r="B42" s="1239">
        <f>RBBD!B27</f>
        <v>0</v>
      </c>
      <c r="C42" s="1239">
        <f>RBBD!C27</f>
        <v>0</v>
      </c>
      <c r="D42" s="1239">
        <f>RBBD!D27</f>
        <v>0</v>
      </c>
      <c r="E42" s="1239">
        <f>RBBD!G27</f>
        <v>0</v>
      </c>
      <c r="F42" s="1239">
        <f>RBBD!H27</f>
        <v>0</v>
      </c>
      <c r="G42" s="1239">
        <f>RBBD!E27</f>
        <v>0</v>
      </c>
      <c r="H42" s="1239">
        <f>RBBD!F27</f>
        <v>0</v>
      </c>
      <c r="I42" s="1239">
        <f t="shared" si="2"/>
        <v>0</v>
      </c>
      <c r="J42" s="1239">
        <f t="shared" si="2"/>
        <v>0</v>
      </c>
      <c r="K42" s="1239">
        <f t="shared" si="2"/>
        <v>0</v>
      </c>
      <c r="L42" s="1239">
        <f t="shared" si="2"/>
        <v>0</v>
      </c>
      <c r="M42" s="1239">
        <f t="shared" si="3"/>
        <v>0</v>
      </c>
      <c r="N42" s="1239">
        <f>RBBD!I27</f>
        <v>0</v>
      </c>
      <c r="O42" s="1239">
        <f>RBBD!J27</f>
        <v>0</v>
      </c>
      <c r="P42" s="1239">
        <f>RBBD!K27</f>
        <v>0</v>
      </c>
      <c r="Q42" s="1239">
        <f>RBBD!L27</f>
        <v>0</v>
      </c>
      <c r="R42" s="1239">
        <f>RBBD!M27</f>
        <v>0</v>
      </c>
      <c r="S42" s="1239">
        <f>RBBD!N27</f>
        <v>0</v>
      </c>
      <c r="T42" s="1239">
        <f>RBBD!O27</f>
        <v>0</v>
      </c>
      <c r="U42" s="1239">
        <f>RBBD!P27</f>
        <v>0</v>
      </c>
      <c r="V42" s="1239">
        <f>RBBD!Q27</f>
        <v>0</v>
      </c>
      <c r="W42" s="1239">
        <f>RBBD!R27</f>
        <v>0</v>
      </c>
      <c r="X42" s="1239">
        <f>RBBD!S27</f>
        <v>0</v>
      </c>
      <c r="Y42" s="1239">
        <f>RBBD!T27</f>
        <v>0</v>
      </c>
      <c r="Z42" s="65"/>
      <c r="AA42" s="324">
        <f t="shared" si="5"/>
        <v>0</v>
      </c>
    </row>
    <row r="43" spans="2:27" hidden="1">
      <c r="B43" s="1239">
        <f>RBBD!B28</f>
        <v>0</v>
      </c>
      <c r="C43" s="1239">
        <f>RBBD!C28</f>
        <v>0</v>
      </c>
      <c r="D43" s="1239">
        <f>RBBD!D28</f>
        <v>0</v>
      </c>
      <c r="E43" s="1239">
        <f>RBBD!G28</f>
        <v>0</v>
      </c>
      <c r="F43" s="1239">
        <f>RBBD!H28</f>
        <v>0</v>
      </c>
      <c r="G43" s="1239">
        <f>RBBD!E28</f>
        <v>0</v>
      </c>
      <c r="H43" s="1239">
        <f>RBBD!F28</f>
        <v>0</v>
      </c>
      <c r="I43" s="1239">
        <f t="shared" si="2"/>
        <v>0</v>
      </c>
      <c r="J43" s="1239">
        <f t="shared" si="2"/>
        <v>0</v>
      </c>
      <c r="K43" s="1239">
        <f t="shared" si="2"/>
        <v>0</v>
      </c>
      <c r="L43" s="1239">
        <f t="shared" si="2"/>
        <v>0</v>
      </c>
      <c r="M43" s="1239">
        <f t="shared" si="3"/>
        <v>0</v>
      </c>
      <c r="N43" s="1239">
        <f>RBBD!I28</f>
        <v>0</v>
      </c>
      <c r="O43" s="1239">
        <f>RBBD!J28</f>
        <v>0</v>
      </c>
      <c r="P43" s="1239">
        <f>RBBD!K28</f>
        <v>0</v>
      </c>
      <c r="Q43" s="1239">
        <f>RBBD!L28</f>
        <v>0</v>
      </c>
      <c r="R43" s="1239">
        <f>RBBD!M28</f>
        <v>0</v>
      </c>
      <c r="S43" s="1239">
        <f>RBBD!N28</f>
        <v>0</v>
      </c>
      <c r="T43" s="1239">
        <f>RBBD!O28</f>
        <v>0</v>
      </c>
      <c r="U43" s="1239">
        <f>RBBD!P28</f>
        <v>0</v>
      </c>
      <c r="V43" s="1239">
        <f>RBBD!Q28</f>
        <v>0</v>
      </c>
      <c r="W43" s="1239">
        <f>RBBD!R28</f>
        <v>0</v>
      </c>
      <c r="X43" s="1239">
        <f>RBBD!S28</f>
        <v>0</v>
      </c>
      <c r="Y43" s="1239">
        <f>RBBD!T28</f>
        <v>0</v>
      </c>
      <c r="Z43" s="65"/>
      <c r="AA43" s="324">
        <f t="shared" si="5"/>
        <v>0</v>
      </c>
    </row>
    <row r="44" spans="2:27" hidden="1">
      <c r="B44" s="1239">
        <f>RBBD!B29</f>
        <v>0</v>
      </c>
      <c r="C44" s="1239">
        <f>RBBD!C29</f>
        <v>0</v>
      </c>
      <c r="D44" s="1239">
        <f>RBBD!D29</f>
        <v>0</v>
      </c>
      <c r="E44" s="1239">
        <f>RBBD!G29</f>
        <v>0</v>
      </c>
      <c r="F44" s="1239">
        <f>RBBD!H29</f>
        <v>0</v>
      </c>
      <c r="G44" s="1239">
        <f>RBBD!E29</f>
        <v>0</v>
      </c>
      <c r="H44" s="1239">
        <f>RBBD!F29</f>
        <v>0</v>
      </c>
      <c r="I44" s="1239">
        <f t="shared" si="2"/>
        <v>0</v>
      </c>
      <c r="J44" s="1239">
        <f t="shared" si="2"/>
        <v>0</v>
      </c>
      <c r="K44" s="1239">
        <f t="shared" si="2"/>
        <v>0</v>
      </c>
      <c r="L44" s="1239">
        <f t="shared" si="2"/>
        <v>0</v>
      </c>
      <c r="M44" s="1239">
        <f t="shared" si="3"/>
        <v>0</v>
      </c>
      <c r="N44" s="1239">
        <f>RBBD!I29</f>
        <v>0</v>
      </c>
      <c r="O44" s="1239">
        <f>RBBD!J29</f>
        <v>0</v>
      </c>
      <c r="P44" s="1239">
        <f>RBBD!K29</f>
        <v>0</v>
      </c>
      <c r="Q44" s="1239">
        <f>RBBD!L29</f>
        <v>0</v>
      </c>
      <c r="R44" s="1239">
        <f>RBBD!M29</f>
        <v>0</v>
      </c>
      <c r="S44" s="1239">
        <f>RBBD!N29</f>
        <v>0</v>
      </c>
      <c r="T44" s="1239">
        <f>RBBD!O29</f>
        <v>0</v>
      </c>
      <c r="U44" s="1239">
        <f>RBBD!P29</f>
        <v>0</v>
      </c>
      <c r="V44" s="1239">
        <f>RBBD!Q29</f>
        <v>0</v>
      </c>
      <c r="W44" s="1239">
        <f>RBBD!R29</f>
        <v>0</v>
      </c>
      <c r="X44" s="1239">
        <f>RBBD!S29</f>
        <v>0</v>
      </c>
      <c r="Y44" s="1239">
        <f>RBBD!T29</f>
        <v>0</v>
      </c>
      <c r="Z44" s="65"/>
      <c r="AA44" s="324">
        <f t="shared" si="5"/>
        <v>0</v>
      </c>
    </row>
    <row r="45" spans="2:27" hidden="1">
      <c r="B45" s="1239">
        <f>RBBD!B30</f>
        <v>0</v>
      </c>
      <c r="C45" s="1239">
        <f>RBBD!C30</f>
        <v>0</v>
      </c>
      <c r="D45" s="1239">
        <f>RBBD!D30</f>
        <v>0</v>
      </c>
      <c r="E45" s="1239">
        <f>RBBD!G30</f>
        <v>0</v>
      </c>
      <c r="F45" s="1239">
        <f>RBBD!H30</f>
        <v>0</v>
      </c>
      <c r="G45" s="1239">
        <f>RBBD!E30</f>
        <v>0</v>
      </c>
      <c r="H45" s="1239">
        <f>RBBD!F30</f>
        <v>0</v>
      </c>
      <c r="I45" s="1239">
        <f t="shared" si="2"/>
        <v>0</v>
      </c>
      <c r="J45" s="1239">
        <f t="shared" si="2"/>
        <v>0</v>
      </c>
      <c r="K45" s="1239">
        <f t="shared" si="2"/>
        <v>0</v>
      </c>
      <c r="L45" s="1239">
        <f t="shared" si="2"/>
        <v>0</v>
      </c>
      <c r="M45" s="1239">
        <f t="shared" si="3"/>
        <v>0</v>
      </c>
      <c r="N45" s="1239">
        <f>RBBD!I30</f>
        <v>0</v>
      </c>
      <c r="O45" s="1239">
        <f>RBBD!J30</f>
        <v>0</v>
      </c>
      <c r="P45" s="1239">
        <f>RBBD!K30</f>
        <v>0</v>
      </c>
      <c r="Q45" s="1239">
        <f>RBBD!L30</f>
        <v>0</v>
      </c>
      <c r="R45" s="1239">
        <f>RBBD!M30</f>
        <v>0</v>
      </c>
      <c r="S45" s="1239">
        <f>RBBD!N30</f>
        <v>0</v>
      </c>
      <c r="T45" s="1239">
        <f>RBBD!O30</f>
        <v>0</v>
      </c>
      <c r="U45" s="1239">
        <f>RBBD!P30</f>
        <v>0</v>
      </c>
      <c r="V45" s="1239">
        <f>RBBD!Q30</f>
        <v>0</v>
      </c>
      <c r="W45" s="1239">
        <f>RBBD!R30</f>
        <v>0</v>
      </c>
      <c r="X45" s="1239">
        <f>RBBD!S30</f>
        <v>0</v>
      </c>
      <c r="Y45" s="1239">
        <f>RBBD!T30</f>
        <v>0</v>
      </c>
      <c r="Z45" s="65"/>
      <c r="AA45" s="324">
        <f t="shared" si="5"/>
        <v>0</v>
      </c>
    </row>
    <row r="46" spans="2:27" hidden="1">
      <c r="B46" s="1239">
        <f>RBBD!B31</f>
        <v>0</v>
      </c>
      <c r="C46" s="1239">
        <f>RBBD!C31</f>
        <v>0</v>
      </c>
      <c r="D46" s="1239">
        <f>RBBD!D31</f>
        <v>0</v>
      </c>
      <c r="E46" s="1239">
        <f>RBBD!G31</f>
        <v>0</v>
      </c>
      <c r="F46" s="1239">
        <f>RBBD!H31</f>
        <v>0</v>
      </c>
      <c r="G46" s="1239">
        <f>RBBD!E31</f>
        <v>0</v>
      </c>
      <c r="H46" s="1239">
        <f>RBBD!F31</f>
        <v>0</v>
      </c>
      <c r="I46" s="1239">
        <f t="shared" si="2"/>
        <v>0</v>
      </c>
      <c r="J46" s="1239">
        <f t="shared" si="2"/>
        <v>0</v>
      </c>
      <c r="K46" s="1239">
        <f t="shared" si="2"/>
        <v>0</v>
      </c>
      <c r="L46" s="1239">
        <f t="shared" si="2"/>
        <v>0</v>
      </c>
      <c r="M46" s="1239">
        <f t="shared" si="3"/>
        <v>0</v>
      </c>
      <c r="N46" s="1239">
        <f>RBBD!I31</f>
        <v>0</v>
      </c>
      <c r="O46" s="1239">
        <f>RBBD!J31</f>
        <v>0</v>
      </c>
      <c r="P46" s="1239">
        <f>RBBD!K31</f>
        <v>0</v>
      </c>
      <c r="Q46" s="1239">
        <f>RBBD!L31</f>
        <v>0</v>
      </c>
      <c r="R46" s="1239">
        <f>RBBD!M31</f>
        <v>0</v>
      </c>
      <c r="S46" s="1239">
        <f>RBBD!N31</f>
        <v>0</v>
      </c>
      <c r="T46" s="1239">
        <f>RBBD!O31</f>
        <v>0</v>
      </c>
      <c r="U46" s="1239">
        <f>RBBD!P31</f>
        <v>0</v>
      </c>
      <c r="V46" s="1239">
        <f>RBBD!Q31</f>
        <v>0</v>
      </c>
      <c r="W46" s="1239">
        <f>RBBD!R31</f>
        <v>0</v>
      </c>
      <c r="X46" s="1239">
        <f>RBBD!S31</f>
        <v>0</v>
      </c>
      <c r="Y46" s="1239">
        <f>RBBD!T31</f>
        <v>0</v>
      </c>
      <c r="Z46" s="65"/>
      <c r="AA46" s="324">
        <f t="shared" si="5"/>
        <v>0</v>
      </c>
    </row>
    <row r="47" spans="2:27" hidden="1">
      <c r="B47" s="1239">
        <f>RBBD!B32</f>
        <v>0</v>
      </c>
      <c r="C47" s="1239">
        <f>RBBD!C32</f>
        <v>0</v>
      </c>
      <c r="D47" s="1239">
        <f>RBBD!D32</f>
        <v>0</v>
      </c>
      <c r="E47" s="1239">
        <f>RBBD!G32</f>
        <v>0</v>
      </c>
      <c r="F47" s="1239">
        <f>RBBD!H32</f>
        <v>0</v>
      </c>
      <c r="G47" s="1239">
        <f>RBBD!E32</f>
        <v>0</v>
      </c>
      <c r="H47" s="1239">
        <f>RBBD!F32</f>
        <v>0</v>
      </c>
      <c r="I47" s="1239">
        <f t="shared" si="2"/>
        <v>0</v>
      </c>
      <c r="J47" s="1239">
        <f t="shared" si="2"/>
        <v>0</v>
      </c>
      <c r="K47" s="1239">
        <f t="shared" si="2"/>
        <v>0</v>
      </c>
      <c r="L47" s="1239">
        <f t="shared" si="2"/>
        <v>0</v>
      </c>
      <c r="M47" s="1239">
        <f t="shared" si="3"/>
        <v>0</v>
      </c>
      <c r="N47" s="1239">
        <f>RBBD!I32</f>
        <v>0</v>
      </c>
      <c r="O47" s="1239">
        <f>RBBD!J32</f>
        <v>0</v>
      </c>
      <c r="P47" s="1239">
        <f>RBBD!K32</f>
        <v>0</v>
      </c>
      <c r="Q47" s="1239">
        <f>RBBD!L32</f>
        <v>0</v>
      </c>
      <c r="R47" s="1239">
        <f>RBBD!M32</f>
        <v>0</v>
      </c>
      <c r="S47" s="1239">
        <f>RBBD!N32</f>
        <v>0</v>
      </c>
      <c r="T47" s="1239">
        <f>RBBD!O32</f>
        <v>0</v>
      </c>
      <c r="U47" s="1239">
        <f>RBBD!P32</f>
        <v>0</v>
      </c>
      <c r="V47" s="1239">
        <f>RBBD!Q32</f>
        <v>0</v>
      </c>
      <c r="W47" s="1239">
        <f>RBBD!R32</f>
        <v>0</v>
      </c>
      <c r="X47" s="1239">
        <f>RBBD!S32</f>
        <v>0</v>
      </c>
      <c r="Y47" s="1239">
        <f>RBBD!T32</f>
        <v>0</v>
      </c>
      <c r="Z47" s="65"/>
      <c r="AA47" s="324">
        <f t="shared" si="5"/>
        <v>0</v>
      </c>
    </row>
    <row r="48" spans="2:27" hidden="1">
      <c r="B48" s="1239">
        <f>RBBD!B33</f>
        <v>0</v>
      </c>
      <c r="C48" s="1239">
        <f>RBBD!C33</f>
        <v>0</v>
      </c>
      <c r="D48" s="1239">
        <f>RBBD!D33</f>
        <v>0</v>
      </c>
      <c r="E48" s="1239">
        <f>RBBD!G33</f>
        <v>0</v>
      </c>
      <c r="F48" s="1239">
        <f>RBBD!H33</f>
        <v>0</v>
      </c>
      <c r="G48" s="1239">
        <f>RBBD!E33</f>
        <v>0</v>
      </c>
      <c r="H48" s="1239">
        <f>RBBD!F33</f>
        <v>0</v>
      </c>
      <c r="I48" s="1239">
        <f t="shared" si="2"/>
        <v>0</v>
      </c>
      <c r="J48" s="1239">
        <f t="shared" si="2"/>
        <v>0</v>
      </c>
      <c r="K48" s="1239">
        <f t="shared" si="2"/>
        <v>0</v>
      </c>
      <c r="L48" s="1239">
        <f t="shared" si="2"/>
        <v>0</v>
      </c>
      <c r="M48" s="1239">
        <f t="shared" si="3"/>
        <v>0</v>
      </c>
      <c r="N48" s="1239">
        <f>RBBD!I33</f>
        <v>0</v>
      </c>
      <c r="O48" s="1239">
        <f>RBBD!J33</f>
        <v>0</v>
      </c>
      <c r="P48" s="1239">
        <f>RBBD!K33</f>
        <v>0</v>
      </c>
      <c r="Q48" s="1239">
        <f>RBBD!L33</f>
        <v>0</v>
      </c>
      <c r="R48" s="1239">
        <f>RBBD!M33</f>
        <v>0</v>
      </c>
      <c r="S48" s="1239">
        <f>RBBD!N33</f>
        <v>0</v>
      </c>
      <c r="T48" s="1239">
        <f>RBBD!O33</f>
        <v>0</v>
      </c>
      <c r="U48" s="1239">
        <f>RBBD!P33</f>
        <v>0</v>
      </c>
      <c r="V48" s="1239">
        <f>RBBD!Q33</f>
        <v>0</v>
      </c>
      <c r="W48" s="1239">
        <f>RBBD!R33</f>
        <v>0</v>
      </c>
      <c r="X48" s="1239">
        <f>RBBD!S33</f>
        <v>0</v>
      </c>
      <c r="Y48" s="1239">
        <f>RBBD!T33</f>
        <v>0</v>
      </c>
      <c r="Z48" s="65"/>
      <c r="AA48" s="324">
        <f t="shared" si="5"/>
        <v>0</v>
      </c>
    </row>
    <row r="49" spans="2:27" hidden="1">
      <c r="B49" s="1239">
        <f>RBBD!B34</f>
        <v>0</v>
      </c>
      <c r="C49" s="1239">
        <f>RBBD!C34</f>
        <v>0</v>
      </c>
      <c r="D49" s="1239">
        <f>RBBD!D34</f>
        <v>0</v>
      </c>
      <c r="E49" s="1239">
        <f>RBBD!G34</f>
        <v>0</v>
      </c>
      <c r="F49" s="1239">
        <f>RBBD!H34</f>
        <v>0</v>
      </c>
      <c r="G49" s="1239">
        <f>RBBD!E34</f>
        <v>0</v>
      </c>
      <c r="H49" s="1239">
        <f>RBBD!F34</f>
        <v>0</v>
      </c>
      <c r="I49" s="1239">
        <f t="shared" si="2"/>
        <v>0</v>
      </c>
      <c r="J49" s="1239">
        <f t="shared" si="2"/>
        <v>0</v>
      </c>
      <c r="K49" s="1239">
        <f t="shared" si="2"/>
        <v>0</v>
      </c>
      <c r="L49" s="1239">
        <f t="shared" si="2"/>
        <v>0</v>
      </c>
      <c r="M49" s="1239">
        <f t="shared" si="3"/>
        <v>0</v>
      </c>
      <c r="N49" s="1239">
        <f>RBBD!I34</f>
        <v>0</v>
      </c>
      <c r="O49" s="1239">
        <f>RBBD!J34</f>
        <v>0</v>
      </c>
      <c r="P49" s="1239">
        <f>RBBD!K34</f>
        <v>0</v>
      </c>
      <c r="Q49" s="1239">
        <f>RBBD!L34</f>
        <v>0</v>
      </c>
      <c r="R49" s="1239">
        <f>RBBD!M34</f>
        <v>0</v>
      </c>
      <c r="S49" s="1239">
        <f>RBBD!N34</f>
        <v>0</v>
      </c>
      <c r="T49" s="1239">
        <f>RBBD!O34</f>
        <v>0</v>
      </c>
      <c r="U49" s="1239">
        <f>RBBD!P34</f>
        <v>0</v>
      </c>
      <c r="V49" s="1239">
        <f>RBBD!Q34</f>
        <v>0</v>
      </c>
      <c r="W49" s="1239">
        <f>RBBD!R34</f>
        <v>0</v>
      </c>
      <c r="X49" s="1239">
        <f>RBBD!S34</f>
        <v>0</v>
      </c>
      <c r="Y49" s="1239">
        <f>RBBD!T34</f>
        <v>0</v>
      </c>
      <c r="Z49" s="65"/>
      <c r="AA49" s="324">
        <f t="shared" si="5"/>
        <v>0</v>
      </c>
    </row>
    <row r="50" spans="2:27" hidden="1">
      <c r="B50" s="1239">
        <f>RBBD!B35</f>
        <v>0</v>
      </c>
      <c r="C50" s="1239">
        <f>RBBD!C35</f>
        <v>0</v>
      </c>
      <c r="D50" s="1239">
        <f>RBBD!D35</f>
        <v>0</v>
      </c>
      <c r="E50" s="1239">
        <f>RBBD!G35</f>
        <v>0</v>
      </c>
      <c r="F50" s="1239">
        <f>RBBD!H35</f>
        <v>0</v>
      </c>
      <c r="G50" s="1239">
        <f>RBBD!E35</f>
        <v>0</v>
      </c>
      <c r="H50" s="1239">
        <f>RBBD!F35</f>
        <v>0</v>
      </c>
      <c r="I50" s="1239">
        <f t="shared" si="2"/>
        <v>0</v>
      </c>
      <c r="J50" s="1239">
        <f t="shared" si="2"/>
        <v>0</v>
      </c>
      <c r="K50" s="1239">
        <f t="shared" si="2"/>
        <v>0</v>
      </c>
      <c r="L50" s="1239">
        <f t="shared" si="2"/>
        <v>0</v>
      </c>
      <c r="M50" s="1239">
        <f t="shared" si="3"/>
        <v>0</v>
      </c>
      <c r="N50" s="1239">
        <f>RBBD!I35</f>
        <v>0</v>
      </c>
      <c r="O50" s="1239">
        <f>RBBD!J35</f>
        <v>0</v>
      </c>
      <c r="P50" s="1239">
        <f>RBBD!K35</f>
        <v>0</v>
      </c>
      <c r="Q50" s="1239">
        <f>RBBD!L35</f>
        <v>0</v>
      </c>
      <c r="R50" s="1239">
        <f>RBBD!M35</f>
        <v>0</v>
      </c>
      <c r="S50" s="1239">
        <f>RBBD!N35</f>
        <v>0</v>
      </c>
      <c r="T50" s="1239">
        <f>RBBD!O35</f>
        <v>0</v>
      </c>
      <c r="U50" s="1239">
        <f>RBBD!P35</f>
        <v>0</v>
      </c>
      <c r="V50" s="1239">
        <f>RBBD!Q35</f>
        <v>0</v>
      </c>
      <c r="W50" s="1239">
        <f>RBBD!R35</f>
        <v>0</v>
      </c>
      <c r="X50" s="1239">
        <f>RBBD!S35</f>
        <v>0</v>
      </c>
      <c r="Y50" s="1239">
        <f>RBBD!T35</f>
        <v>0</v>
      </c>
      <c r="Z50" s="65"/>
      <c r="AA50" s="324">
        <f t="shared" si="5"/>
        <v>0</v>
      </c>
    </row>
    <row r="51" spans="2:27" hidden="1">
      <c r="B51" s="1239">
        <f>RBBD!B36</f>
        <v>0</v>
      </c>
      <c r="C51" s="1239">
        <f>RBBD!C36</f>
        <v>0</v>
      </c>
      <c r="D51" s="1239">
        <f>RBBD!D36</f>
        <v>0</v>
      </c>
      <c r="E51" s="1239">
        <f>RBBD!G36</f>
        <v>0</v>
      </c>
      <c r="F51" s="1239">
        <f>RBBD!H36</f>
        <v>0</v>
      </c>
      <c r="G51" s="1239">
        <f>RBBD!E36</f>
        <v>0</v>
      </c>
      <c r="H51" s="1239">
        <f>RBBD!F36</f>
        <v>0</v>
      </c>
      <c r="I51" s="1239">
        <f t="shared" si="2"/>
        <v>0</v>
      </c>
      <c r="J51" s="1239">
        <f t="shared" si="2"/>
        <v>0</v>
      </c>
      <c r="K51" s="1239">
        <f t="shared" si="2"/>
        <v>0</v>
      </c>
      <c r="L51" s="1239">
        <f t="shared" si="2"/>
        <v>0</v>
      </c>
      <c r="M51" s="1239">
        <f t="shared" si="3"/>
        <v>0</v>
      </c>
      <c r="N51" s="1239">
        <f>RBBD!I36</f>
        <v>0</v>
      </c>
      <c r="O51" s="1239">
        <f>RBBD!J36</f>
        <v>0</v>
      </c>
      <c r="P51" s="1239">
        <f>RBBD!K36</f>
        <v>0</v>
      </c>
      <c r="Q51" s="1239">
        <f>RBBD!L36</f>
        <v>0</v>
      </c>
      <c r="R51" s="1239">
        <f>RBBD!M36</f>
        <v>0</v>
      </c>
      <c r="S51" s="1239">
        <f>RBBD!N36</f>
        <v>0</v>
      </c>
      <c r="T51" s="1239">
        <f>RBBD!O36</f>
        <v>0</v>
      </c>
      <c r="U51" s="1239">
        <f>RBBD!P36</f>
        <v>0</v>
      </c>
      <c r="V51" s="1239">
        <f>RBBD!Q36</f>
        <v>0</v>
      </c>
      <c r="W51" s="1239">
        <f>RBBD!R36</f>
        <v>0</v>
      </c>
      <c r="X51" s="1239">
        <f>RBBD!S36</f>
        <v>0</v>
      </c>
      <c r="Y51" s="1239">
        <f>RBBD!T36</f>
        <v>0</v>
      </c>
      <c r="Z51" s="65"/>
      <c r="AA51" s="324">
        <f t="shared" si="5"/>
        <v>0</v>
      </c>
    </row>
    <row r="52" spans="2:27" hidden="1">
      <c r="B52" s="1239">
        <f>RBBD!B37</f>
        <v>0</v>
      </c>
      <c r="C52" s="1239">
        <f>RBBD!C37</f>
        <v>0</v>
      </c>
      <c r="D52" s="1239">
        <f>RBBD!D37</f>
        <v>0</v>
      </c>
      <c r="E52" s="1239">
        <f>RBBD!G37</f>
        <v>0</v>
      </c>
      <c r="F52" s="1239">
        <f>RBBD!H37</f>
        <v>0</v>
      </c>
      <c r="G52" s="1239">
        <f>RBBD!E37</f>
        <v>0</v>
      </c>
      <c r="H52" s="1239">
        <f>RBBD!F37</f>
        <v>0</v>
      </c>
      <c r="I52" s="1239">
        <f t="shared" si="2"/>
        <v>0</v>
      </c>
      <c r="J52" s="1239">
        <f t="shared" si="2"/>
        <v>0</v>
      </c>
      <c r="K52" s="1239">
        <f t="shared" si="2"/>
        <v>0</v>
      </c>
      <c r="L52" s="1239">
        <f t="shared" si="2"/>
        <v>0</v>
      </c>
      <c r="M52" s="1239">
        <f t="shared" si="3"/>
        <v>0</v>
      </c>
      <c r="N52" s="1239">
        <f>RBBD!I37</f>
        <v>0</v>
      </c>
      <c r="O52" s="1239">
        <f>RBBD!J37</f>
        <v>0</v>
      </c>
      <c r="P52" s="1239">
        <f>RBBD!K37</f>
        <v>0</v>
      </c>
      <c r="Q52" s="1239">
        <f>RBBD!L37</f>
        <v>0</v>
      </c>
      <c r="R52" s="1239">
        <f>RBBD!M37</f>
        <v>0</v>
      </c>
      <c r="S52" s="1239">
        <f>RBBD!N37</f>
        <v>0</v>
      </c>
      <c r="T52" s="1239">
        <f>RBBD!O37</f>
        <v>0</v>
      </c>
      <c r="U52" s="1239">
        <f>RBBD!P37</f>
        <v>0</v>
      </c>
      <c r="V52" s="1239">
        <f>RBBD!Q37</f>
        <v>0</v>
      </c>
      <c r="W52" s="1239">
        <f>RBBD!R37</f>
        <v>0</v>
      </c>
      <c r="X52" s="1239">
        <f>RBBD!S37</f>
        <v>0</v>
      </c>
      <c r="Y52" s="1239">
        <f>RBBD!T37</f>
        <v>0</v>
      </c>
      <c r="Z52" s="65"/>
      <c r="AA52" s="324">
        <f t="shared" si="5"/>
        <v>0</v>
      </c>
    </row>
    <row r="53" spans="2:27" hidden="1">
      <c r="B53" s="1239">
        <f>RBBD!B38</f>
        <v>0</v>
      </c>
      <c r="C53" s="1239">
        <f>RBBD!C38</f>
        <v>0</v>
      </c>
      <c r="D53" s="1239">
        <f>RBBD!D38</f>
        <v>0</v>
      </c>
      <c r="E53" s="1239">
        <f>RBBD!G38</f>
        <v>0</v>
      </c>
      <c r="F53" s="1239">
        <f>RBBD!H38</f>
        <v>0</v>
      </c>
      <c r="G53" s="1239">
        <f>RBBD!E38</f>
        <v>0</v>
      </c>
      <c r="H53" s="1239">
        <f>RBBD!F38</f>
        <v>0</v>
      </c>
      <c r="I53" s="1239">
        <f t="shared" si="2"/>
        <v>0</v>
      </c>
      <c r="J53" s="1239">
        <f t="shared" si="2"/>
        <v>0</v>
      </c>
      <c r="K53" s="1239">
        <f t="shared" si="2"/>
        <v>0</v>
      </c>
      <c r="L53" s="1239">
        <f t="shared" si="2"/>
        <v>0</v>
      </c>
      <c r="M53" s="1239">
        <f t="shared" si="3"/>
        <v>0</v>
      </c>
      <c r="N53" s="1239">
        <f>RBBD!I38</f>
        <v>0</v>
      </c>
      <c r="O53" s="1239">
        <f>RBBD!J38</f>
        <v>0</v>
      </c>
      <c r="P53" s="1239">
        <f>RBBD!K38</f>
        <v>0</v>
      </c>
      <c r="Q53" s="1239">
        <f>RBBD!L38</f>
        <v>0</v>
      </c>
      <c r="R53" s="1239">
        <f>RBBD!M38</f>
        <v>0</v>
      </c>
      <c r="S53" s="1239">
        <f>RBBD!N38</f>
        <v>0</v>
      </c>
      <c r="T53" s="1239">
        <f>RBBD!O38</f>
        <v>0</v>
      </c>
      <c r="U53" s="1239">
        <f>RBBD!P38</f>
        <v>0</v>
      </c>
      <c r="V53" s="1239">
        <f>RBBD!Q38</f>
        <v>0</v>
      </c>
      <c r="W53" s="1239">
        <f>RBBD!R38</f>
        <v>0</v>
      </c>
      <c r="X53" s="1239">
        <f>RBBD!S38</f>
        <v>0</v>
      </c>
      <c r="Y53" s="1239">
        <f>RBBD!T38</f>
        <v>0</v>
      </c>
      <c r="Z53" s="65"/>
      <c r="AA53" s="324">
        <f t="shared" si="5"/>
        <v>0</v>
      </c>
    </row>
    <row r="54" spans="2:27" hidden="1">
      <c r="B54" s="1239">
        <f>RBBD!B39</f>
        <v>0</v>
      </c>
      <c r="C54" s="1239">
        <f>RBBD!C39</f>
        <v>0</v>
      </c>
      <c r="D54" s="1239">
        <f>RBBD!D39</f>
        <v>0</v>
      </c>
      <c r="E54" s="1239">
        <f>RBBD!G39</f>
        <v>0</v>
      </c>
      <c r="F54" s="1239">
        <f>RBBD!H39</f>
        <v>0</v>
      </c>
      <c r="G54" s="1239">
        <f>RBBD!E39</f>
        <v>0</v>
      </c>
      <c r="H54" s="1239">
        <f>RBBD!F39</f>
        <v>0</v>
      </c>
      <c r="I54" s="1239">
        <f t="shared" si="2"/>
        <v>0</v>
      </c>
      <c r="J54" s="1239">
        <f t="shared" si="2"/>
        <v>0</v>
      </c>
      <c r="K54" s="1239">
        <f t="shared" si="2"/>
        <v>0</v>
      </c>
      <c r="L54" s="1239">
        <f t="shared" si="2"/>
        <v>0</v>
      </c>
      <c r="M54" s="1239">
        <f t="shared" si="3"/>
        <v>0</v>
      </c>
      <c r="N54" s="1239">
        <f>RBBD!I39</f>
        <v>0</v>
      </c>
      <c r="O54" s="1239">
        <f>RBBD!J39</f>
        <v>0</v>
      </c>
      <c r="P54" s="1239">
        <f>RBBD!K39</f>
        <v>0</v>
      </c>
      <c r="Q54" s="1239">
        <f>RBBD!L39</f>
        <v>0</v>
      </c>
      <c r="R54" s="1239">
        <f>RBBD!M39</f>
        <v>0</v>
      </c>
      <c r="S54" s="1239">
        <f>RBBD!N39</f>
        <v>0</v>
      </c>
      <c r="T54" s="1239">
        <f>RBBD!O39</f>
        <v>0</v>
      </c>
      <c r="U54" s="1239">
        <f>RBBD!P39</f>
        <v>0</v>
      </c>
      <c r="V54" s="1239">
        <f>RBBD!Q39</f>
        <v>0</v>
      </c>
      <c r="W54" s="1239">
        <f>RBBD!R39</f>
        <v>0</v>
      </c>
      <c r="X54" s="1239">
        <f>RBBD!S39</f>
        <v>0</v>
      </c>
      <c r="Y54" s="1239">
        <f>RBBD!T39</f>
        <v>0</v>
      </c>
      <c r="Z54" s="65"/>
      <c r="AA54" s="324">
        <f t="shared" si="5"/>
        <v>0</v>
      </c>
    </row>
    <row r="55" spans="2:27" hidden="1">
      <c r="B55" s="1239">
        <f>RBBD!B40</f>
        <v>0</v>
      </c>
      <c r="C55" s="1239">
        <f>RBBD!C40</f>
        <v>0</v>
      </c>
      <c r="D55" s="1239">
        <f>RBBD!D40</f>
        <v>0</v>
      </c>
      <c r="E55" s="1239">
        <f>RBBD!G40</f>
        <v>0</v>
      </c>
      <c r="F55" s="1239">
        <f>RBBD!H40</f>
        <v>0</v>
      </c>
      <c r="G55" s="1239">
        <f>RBBD!E40</f>
        <v>0</v>
      </c>
      <c r="H55" s="1239">
        <f>RBBD!F40</f>
        <v>0</v>
      </c>
      <c r="I55" s="1239">
        <f t="shared" si="2"/>
        <v>0</v>
      </c>
      <c r="J55" s="1239">
        <f t="shared" si="2"/>
        <v>0</v>
      </c>
      <c r="K55" s="1239">
        <f t="shared" si="2"/>
        <v>0</v>
      </c>
      <c r="L55" s="1239">
        <f t="shared" si="2"/>
        <v>0</v>
      </c>
      <c r="M55" s="1239">
        <f t="shared" si="3"/>
        <v>0</v>
      </c>
      <c r="N55" s="1239">
        <f>RBBD!I40</f>
        <v>0</v>
      </c>
      <c r="O55" s="1239">
        <f>RBBD!J40</f>
        <v>0</v>
      </c>
      <c r="P55" s="1239">
        <f>RBBD!K40</f>
        <v>0</v>
      </c>
      <c r="Q55" s="1239">
        <f>RBBD!L40</f>
        <v>0</v>
      </c>
      <c r="R55" s="1239">
        <f>RBBD!M40</f>
        <v>0</v>
      </c>
      <c r="S55" s="1239">
        <f>RBBD!N40</f>
        <v>0</v>
      </c>
      <c r="T55" s="1239">
        <f>RBBD!O40</f>
        <v>0</v>
      </c>
      <c r="U55" s="1239">
        <f>RBBD!P40</f>
        <v>0</v>
      </c>
      <c r="V55" s="1239">
        <f>RBBD!Q40</f>
        <v>0</v>
      </c>
      <c r="W55" s="1239">
        <f>RBBD!R40</f>
        <v>0</v>
      </c>
      <c r="X55" s="1239">
        <f>RBBD!S40</f>
        <v>0</v>
      </c>
      <c r="Y55" s="1239">
        <f>RBBD!T40</f>
        <v>0</v>
      </c>
      <c r="Z55" s="65"/>
      <c r="AA55" s="324">
        <f t="shared" si="5"/>
        <v>0</v>
      </c>
    </row>
    <row r="56" spans="2:27" hidden="1">
      <c r="B56" s="1239">
        <f>RBBD!B41</f>
        <v>0</v>
      </c>
      <c r="C56" s="1239">
        <f>RBBD!C41</f>
        <v>0</v>
      </c>
      <c r="D56" s="1239">
        <f>RBBD!D41</f>
        <v>0</v>
      </c>
      <c r="E56" s="1239">
        <f>RBBD!G41</f>
        <v>0</v>
      </c>
      <c r="F56" s="1239">
        <f>RBBD!H41</f>
        <v>0</v>
      </c>
      <c r="G56" s="1239">
        <f>RBBD!E41</f>
        <v>0</v>
      </c>
      <c r="H56" s="1239">
        <f>RBBD!F41</f>
        <v>0</v>
      </c>
      <c r="I56" s="1239">
        <f t="shared" si="2"/>
        <v>0</v>
      </c>
      <c r="J56" s="1239">
        <f t="shared" si="2"/>
        <v>0</v>
      </c>
      <c r="K56" s="1239">
        <f t="shared" si="2"/>
        <v>0</v>
      </c>
      <c r="L56" s="1239">
        <f t="shared" si="2"/>
        <v>0</v>
      </c>
      <c r="M56" s="1239">
        <f t="shared" si="3"/>
        <v>0</v>
      </c>
      <c r="N56" s="1239">
        <f>RBBD!I41</f>
        <v>0</v>
      </c>
      <c r="O56" s="1239">
        <f>RBBD!J41</f>
        <v>0</v>
      </c>
      <c r="P56" s="1239">
        <f>RBBD!K41</f>
        <v>0</v>
      </c>
      <c r="Q56" s="1239">
        <f>RBBD!L41</f>
        <v>0</v>
      </c>
      <c r="R56" s="1239">
        <f>RBBD!M41</f>
        <v>0</v>
      </c>
      <c r="S56" s="1239">
        <f>RBBD!N41</f>
        <v>0</v>
      </c>
      <c r="T56" s="1239">
        <f>RBBD!O41</f>
        <v>0</v>
      </c>
      <c r="U56" s="1239">
        <f>RBBD!P41</f>
        <v>0</v>
      </c>
      <c r="V56" s="1239">
        <f>RBBD!Q41</f>
        <v>0</v>
      </c>
      <c r="W56" s="1239">
        <f>RBBD!R41</f>
        <v>0</v>
      </c>
      <c r="X56" s="1239">
        <f>RBBD!S41</f>
        <v>0</v>
      </c>
      <c r="Y56" s="1239">
        <f>RBBD!T41</f>
        <v>0</v>
      </c>
      <c r="Z56" s="65"/>
      <c r="AA56" s="324">
        <f t="shared" si="5"/>
        <v>0</v>
      </c>
    </row>
    <row r="57" spans="2:27" hidden="1">
      <c r="B57" s="1239">
        <f>RBBD!B42</f>
        <v>0</v>
      </c>
      <c r="C57" s="1239">
        <f>RBBD!C42</f>
        <v>0</v>
      </c>
      <c r="D57" s="1239">
        <f>RBBD!D42</f>
        <v>0</v>
      </c>
      <c r="E57" s="1239">
        <f>RBBD!G42</f>
        <v>0</v>
      </c>
      <c r="F57" s="1239">
        <f>RBBD!H42</f>
        <v>0</v>
      </c>
      <c r="G57" s="1239">
        <f>RBBD!E42</f>
        <v>0</v>
      </c>
      <c r="H57" s="1239">
        <f>RBBD!F42</f>
        <v>0</v>
      </c>
      <c r="I57" s="1239">
        <f t="shared" si="2"/>
        <v>0</v>
      </c>
      <c r="J57" s="1239">
        <f t="shared" si="2"/>
        <v>0</v>
      </c>
      <c r="K57" s="1239">
        <f t="shared" si="2"/>
        <v>0</v>
      </c>
      <c r="L57" s="1239">
        <f t="shared" si="2"/>
        <v>0</v>
      </c>
      <c r="M57" s="1239">
        <f t="shared" si="3"/>
        <v>0</v>
      </c>
      <c r="N57" s="1239">
        <f>RBBD!I42</f>
        <v>0</v>
      </c>
      <c r="O57" s="1239">
        <f>RBBD!J42</f>
        <v>0</v>
      </c>
      <c r="P57" s="1239">
        <f>RBBD!K42</f>
        <v>0</v>
      </c>
      <c r="Q57" s="1239">
        <f>RBBD!L42</f>
        <v>0</v>
      </c>
      <c r="R57" s="1239">
        <f>RBBD!M42</f>
        <v>0</v>
      </c>
      <c r="S57" s="1239">
        <f>RBBD!N42</f>
        <v>0</v>
      </c>
      <c r="T57" s="1239">
        <f>RBBD!O42</f>
        <v>0</v>
      </c>
      <c r="U57" s="1239">
        <f>RBBD!P42</f>
        <v>0</v>
      </c>
      <c r="V57" s="1239">
        <f>RBBD!Q42</f>
        <v>0</v>
      </c>
      <c r="W57" s="1239">
        <f>RBBD!R42</f>
        <v>0</v>
      </c>
      <c r="X57" s="1239">
        <f>RBBD!S42</f>
        <v>0</v>
      </c>
      <c r="Y57" s="1239">
        <f>RBBD!T42</f>
        <v>0</v>
      </c>
      <c r="Z57" s="65"/>
      <c r="AA57" s="324">
        <f t="shared" si="5"/>
        <v>0</v>
      </c>
    </row>
    <row r="58" spans="2:27" hidden="1">
      <c r="B58" s="1239">
        <f>RBBD!B43</f>
        <v>0</v>
      </c>
      <c r="C58" s="1239">
        <f>RBBD!C43</f>
        <v>0</v>
      </c>
      <c r="D58" s="1239">
        <f>RBBD!D43</f>
        <v>0</v>
      </c>
      <c r="E58" s="1239">
        <f>RBBD!G43</f>
        <v>0</v>
      </c>
      <c r="F58" s="1239">
        <f>RBBD!H43</f>
        <v>0</v>
      </c>
      <c r="G58" s="1239">
        <f>RBBD!E43</f>
        <v>0</v>
      </c>
      <c r="H58" s="1239">
        <f>RBBD!F43</f>
        <v>0</v>
      </c>
      <c r="I58" s="1239">
        <f t="shared" si="2"/>
        <v>0</v>
      </c>
      <c r="J58" s="1239">
        <f t="shared" si="2"/>
        <v>0</v>
      </c>
      <c r="K58" s="1239">
        <f t="shared" si="2"/>
        <v>0</v>
      </c>
      <c r="L58" s="1239">
        <f t="shared" si="2"/>
        <v>0</v>
      </c>
      <c r="M58" s="1239">
        <f t="shared" si="3"/>
        <v>0</v>
      </c>
      <c r="N58" s="1239">
        <f>RBBD!I43</f>
        <v>0</v>
      </c>
      <c r="O58" s="1239">
        <f>RBBD!J43</f>
        <v>0</v>
      </c>
      <c r="P58" s="1239">
        <f>RBBD!K43</f>
        <v>0</v>
      </c>
      <c r="Q58" s="1239">
        <f>RBBD!L43</f>
        <v>0</v>
      </c>
      <c r="R58" s="1239">
        <f>RBBD!M43</f>
        <v>0</v>
      </c>
      <c r="S58" s="1239">
        <f>RBBD!N43</f>
        <v>0</v>
      </c>
      <c r="T58" s="1239">
        <f>RBBD!O43</f>
        <v>0</v>
      </c>
      <c r="U58" s="1239">
        <f>RBBD!P43</f>
        <v>0</v>
      </c>
      <c r="V58" s="1239">
        <f>RBBD!Q43</f>
        <v>0</v>
      </c>
      <c r="W58" s="1239">
        <f>RBBD!R43</f>
        <v>0</v>
      </c>
      <c r="X58" s="1239">
        <f>RBBD!S43</f>
        <v>0</v>
      </c>
      <c r="Y58" s="1239">
        <f>RBBD!T43</f>
        <v>0</v>
      </c>
      <c r="Z58" s="65"/>
      <c r="AA58" s="324">
        <f t="shared" si="5"/>
        <v>0</v>
      </c>
    </row>
    <row r="59" spans="2:27" hidden="1">
      <c r="B59" s="1239">
        <f>RBBD!B44</f>
        <v>0</v>
      </c>
      <c r="C59" s="1239">
        <f>RBBD!C44</f>
        <v>0</v>
      </c>
      <c r="D59" s="1239">
        <f>RBBD!D44</f>
        <v>0</v>
      </c>
      <c r="E59" s="1239">
        <f>RBBD!G44</f>
        <v>0</v>
      </c>
      <c r="F59" s="1239">
        <f>RBBD!H44</f>
        <v>0</v>
      </c>
      <c r="G59" s="1239">
        <f>RBBD!E44</f>
        <v>0</v>
      </c>
      <c r="H59" s="1239">
        <f>RBBD!F44</f>
        <v>0</v>
      </c>
      <c r="I59" s="1239">
        <f t="shared" si="2"/>
        <v>0</v>
      </c>
      <c r="J59" s="1239">
        <f t="shared" si="2"/>
        <v>0</v>
      </c>
      <c r="K59" s="1239">
        <f t="shared" si="2"/>
        <v>0</v>
      </c>
      <c r="L59" s="1239">
        <f t="shared" si="2"/>
        <v>0</v>
      </c>
      <c r="M59" s="1239">
        <f t="shared" si="3"/>
        <v>0</v>
      </c>
      <c r="N59" s="1239">
        <f>RBBD!I44</f>
        <v>0</v>
      </c>
      <c r="O59" s="1239">
        <f>RBBD!J44</f>
        <v>0</v>
      </c>
      <c r="P59" s="1239">
        <f>RBBD!K44</f>
        <v>0</v>
      </c>
      <c r="Q59" s="1239">
        <f>RBBD!L44</f>
        <v>0</v>
      </c>
      <c r="R59" s="1239">
        <f>RBBD!M44</f>
        <v>0</v>
      </c>
      <c r="S59" s="1239">
        <f>RBBD!N44</f>
        <v>0</v>
      </c>
      <c r="T59" s="1239">
        <f>RBBD!O44</f>
        <v>0</v>
      </c>
      <c r="U59" s="1239">
        <f>RBBD!P44</f>
        <v>0</v>
      </c>
      <c r="V59" s="1239">
        <f>RBBD!Q44</f>
        <v>0</v>
      </c>
      <c r="W59" s="1239">
        <f>RBBD!R44</f>
        <v>0</v>
      </c>
      <c r="X59" s="1239">
        <f>RBBD!S44</f>
        <v>0</v>
      </c>
      <c r="Y59" s="1239">
        <f>RBBD!T44</f>
        <v>0</v>
      </c>
      <c r="Z59" s="65"/>
      <c r="AA59" s="324">
        <f t="shared" si="5"/>
        <v>0</v>
      </c>
    </row>
    <row r="60" spans="2:27" hidden="1">
      <c r="B60" s="1239">
        <f>RBBD!B45</f>
        <v>0</v>
      </c>
      <c r="C60" s="1239">
        <f>RBBD!C45</f>
        <v>0</v>
      </c>
      <c r="D60" s="1239">
        <f>RBBD!D45</f>
        <v>0</v>
      </c>
      <c r="E60" s="1239">
        <f>RBBD!G45</f>
        <v>0</v>
      </c>
      <c r="F60" s="1239">
        <f>RBBD!H45</f>
        <v>0</v>
      </c>
      <c r="G60" s="1239">
        <f>RBBD!E45</f>
        <v>0</v>
      </c>
      <c r="H60" s="1239">
        <f>RBBD!F45</f>
        <v>0</v>
      </c>
      <c r="I60" s="1239">
        <f t="shared" si="2"/>
        <v>0</v>
      </c>
      <c r="J60" s="1239">
        <f t="shared" si="2"/>
        <v>0</v>
      </c>
      <c r="K60" s="1239">
        <f t="shared" si="2"/>
        <v>0</v>
      </c>
      <c r="L60" s="1239">
        <f t="shared" si="2"/>
        <v>0</v>
      </c>
      <c r="M60" s="1239">
        <f t="shared" si="3"/>
        <v>0</v>
      </c>
      <c r="N60" s="1239">
        <f>RBBD!I45</f>
        <v>0</v>
      </c>
      <c r="O60" s="1239">
        <f>RBBD!J45</f>
        <v>0</v>
      </c>
      <c r="P60" s="1239">
        <f>RBBD!K45</f>
        <v>0</v>
      </c>
      <c r="Q60" s="1239">
        <f>RBBD!L45</f>
        <v>0</v>
      </c>
      <c r="R60" s="1239">
        <f>RBBD!M45</f>
        <v>0</v>
      </c>
      <c r="S60" s="1239">
        <f>RBBD!N45</f>
        <v>0</v>
      </c>
      <c r="T60" s="1239">
        <f>RBBD!O45</f>
        <v>0</v>
      </c>
      <c r="U60" s="1239">
        <f>RBBD!P45</f>
        <v>0</v>
      </c>
      <c r="V60" s="1239">
        <f>RBBD!Q45</f>
        <v>0</v>
      </c>
      <c r="W60" s="1239">
        <f>RBBD!R45</f>
        <v>0</v>
      </c>
      <c r="X60" s="1239">
        <f>RBBD!S45</f>
        <v>0</v>
      </c>
      <c r="Y60" s="1239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0" t="s">
        <v>1165</v>
      </c>
      <c r="D62" s="1241"/>
      <c r="E62" s="1241" t="e">
        <f>SUM(I18:I61)/SUM(M18:M61)</f>
        <v>#DIV/0!</v>
      </c>
      <c r="F62" s="1241" t="e">
        <f>SUM(J18:J61)/SUM(M18:M61)</f>
        <v>#DIV/0!</v>
      </c>
      <c r="G62" s="1241" t="e">
        <f>SUM(K18:K61)/SUM(M18:M61)</f>
        <v>#DIV/0!</v>
      </c>
      <c r="H62" s="1241" t="e">
        <f>SUM(L18:L61)/SUM(M18:M61)</f>
        <v>#DIV/0!</v>
      </c>
      <c r="I62" s="1242">
        <f>SUM(I16:I61)</f>
        <v>0</v>
      </c>
      <c r="J62" s="1242">
        <f>SUM(J16:J61)</f>
        <v>0</v>
      </c>
      <c r="K62" s="1242">
        <f>SUM(K16:K61)</f>
        <v>0</v>
      </c>
      <c r="L62" s="1242">
        <f>SUM(L16:L61)</f>
        <v>0</v>
      </c>
      <c r="M62" s="1242">
        <f>SUM(M17:M61)</f>
        <v>0</v>
      </c>
      <c r="N62" s="1242">
        <f>SUM(N18:N61)</f>
        <v>0</v>
      </c>
      <c r="O62" s="1242">
        <f t="shared" ref="O62:Y62" si="6">SUM(O18:O61)</f>
        <v>0</v>
      </c>
      <c r="P62" s="1242">
        <f t="shared" si="6"/>
        <v>0</v>
      </c>
      <c r="Q62" s="1242">
        <f t="shared" si="6"/>
        <v>0</v>
      </c>
      <c r="R62" s="1242">
        <f t="shared" si="6"/>
        <v>0</v>
      </c>
      <c r="S62" s="1242">
        <f t="shared" si="6"/>
        <v>0</v>
      </c>
      <c r="T62" s="1242">
        <f t="shared" si="6"/>
        <v>0</v>
      </c>
      <c r="U62" s="1242">
        <f t="shared" si="6"/>
        <v>0</v>
      </c>
      <c r="V62" s="1242">
        <f t="shared" si="6"/>
        <v>0</v>
      </c>
      <c r="W62" s="1242">
        <f t="shared" si="6"/>
        <v>0</v>
      </c>
      <c r="X62" s="1242">
        <f t="shared" si="6"/>
        <v>0</v>
      </c>
      <c r="Y62" s="1242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2" t="s">
        <v>1166</v>
      </c>
      <c r="C67" s="1232"/>
      <c r="D67" s="1232"/>
      <c r="E67" s="1232"/>
      <c r="F67" s="1232"/>
      <c r="G67" s="1232"/>
      <c r="H67" s="1232"/>
      <c r="I67" s="1232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6"/>
      <c r="E69" s="1243">
        <f>IF(MONTH(E70)=7,E70,0)</f>
        <v>0</v>
      </c>
      <c r="F69" s="1243">
        <f t="shared" ref="F69:P69" si="7">IF(MONTH(F70)=7,F70,0)</f>
        <v>0</v>
      </c>
      <c r="G69" s="1243">
        <f t="shared" si="7"/>
        <v>0</v>
      </c>
      <c r="H69" s="1243">
        <f t="shared" si="7"/>
        <v>0</v>
      </c>
      <c r="I69" s="1243">
        <f t="shared" si="7"/>
        <v>0</v>
      </c>
      <c r="J69" s="1243">
        <f t="shared" si="7"/>
        <v>0</v>
      </c>
      <c r="K69" s="1243">
        <f t="shared" si="7"/>
        <v>0</v>
      </c>
      <c r="L69" s="1243">
        <f t="shared" si="7"/>
        <v>0</v>
      </c>
      <c r="M69" s="1243">
        <f t="shared" si="7"/>
        <v>0</v>
      </c>
      <c r="N69" s="1243">
        <f t="shared" si="7"/>
        <v>0</v>
      </c>
      <c r="O69" s="1243">
        <f t="shared" si="7"/>
        <v>44743</v>
      </c>
      <c r="P69" s="1243">
        <f t="shared" si="7"/>
        <v>0</v>
      </c>
      <c r="Q69" s="770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4">
        <f>G76</f>
        <v>44440</v>
      </c>
      <c r="F70" s="1244">
        <f>G77</f>
        <v>44470</v>
      </c>
      <c r="G70" s="1244">
        <f>G78</f>
        <v>44501</v>
      </c>
      <c r="H70" s="1244">
        <f>G79</f>
        <v>44531</v>
      </c>
      <c r="I70" s="1244">
        <f>G80</f>
        <v>44562</v>
      </c>
      <c r="J70" s="1244">
        <f>G81</f>
        <v>44593</v>
      </c>
      <c r="K70" s="1244">
        <f>G82</f>
        <v>44621</v>
      </c>
      <c r="L70" s="1244">
        <f>G83</f>
        <v>44652</v>
      </c>
      <c r="M70" s="1244">
        <f>G84</f>
        <v>44682</v>
      </c>
      <c r="N70" s="1244">
        <f>G85</f>
        <v>44713</v>
      </c>
      <c r="O70" s="1244">
        <f>G86</f>
        <v>44743</v>
      </c>
      <c r="P70" s="1244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5" t="s">
        <v>1168</v>
      </c>
      <c r="D71" s="1246">
        <f>SUM(E71:P71)</f>
        <v>0</v>
      </c>
      <c r="E71" s="1247">
        <f>SUMIF($G$76:$G$420,E70,$N$76:$N$420)</f>
        <v>0</v>
      </c>
      <c r="F71" s="1247">
        <f t="shared" ref="F71:P71" si="8">SUMIF($G$76:$G$420,F70,$N$76:$N$420)</f>
        <v>0</v>
      </c>
      <c r="G71" s="1247">
        <f t="shared" si="8"/>
        <v>0</v>
      </c>
      <c r="H71" s="1247">
        <f t="shared" si="8"/>
        <v>0</v>
      </c>
      <c r="I71" s="1247">
        <f t="shared" si="8"/>
        <v>0</v>
      </c>
      <c r="J71" s="1247">
        <f t="shared" si="8"/>
        <v>0</v>
      </c>
      <c r="K71" s="1247">
        <f t="shared" si="8"/>
        <v>0</v>
      </c>
      <c r="L71" s="1247">
        <f t="shared" si="8"/>
        <v>0</v>
      </c>
      <c r="M71" s="1247">
        <f t="shared" si="8"/>
        <v>0</v>
      </c>
      <c r="N71" s="1247">
        <f t="shared" si="8"/>
        <v>0</v>
      </c>
      <c r="O71" s="1247">
        <f t="shared" si="8"/>
        <v>0</v>
      </c>
      <c r="P71" s="1247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5" t="s">
        <v>1169</v>
      </c>
      <c r="D72" s="1246">
        <f>SUM(E72:P72)</f>
        <v>0</v>
      </c>
      <c r="E72" s="1247">
        <f>SUMIF(Indexador!$B$25:$B$48,'Rede Básica + Ajuste'!E70,Indexador!$J$25:$J$48)</f>
        <v>0</v>
      </c>
      <c r="F72" s="1247">
        <f>SUMIF(Indexador!$B$25:$B$48,'Rede Básica + Ajuste'!F70,Indexador!$J$25:$J$48)</f>
        <v>0</v>
      </c>
      <c r="G72" s="1247">
        <f>SUMIF(Indexador!$B$25:$B$48,'Rede Básica + Ajuste'!G70,Indexador!$J$25:$J$48)</f>
        <v>0</v>
      </c>
      <c r="H72" s="1247">
        <f>SUMIF(Indexador!$B$25:$B$48,'Rede Básica + Ajuste'!H70,Indexador!$J$25:$J$48)</f>
        <v>0</v>
      </c>
      <c r="I72" s="1247">
        <f>SUMIF(Indexador!$B$25:$B$48,'Rede Básica + Ajuste'!I70,Indexador!$J$25:$J$48)</f>
        <v>0</v>
      </c>
      <c r="J72" s="1247">
        <f>SUMIF(Indexador!$B$25:$B$48,'Rede Básica + Ajuste'!J70,Indexador!$J$25:$J$48)</f>
        <v>0</v>
      </c>
      <c r="K72" s="1247">
        <f>SUMIF(Indexador!$B$25:$B$48,'Rede Básica + Ajuste'!K70,Indexador!$J$25:$J$48)</f>
        <v>0</v>
      </c>
      <c r="L72" s="1247">
        <f>SUMIF(Indexador!$B$25:$B$48,'Rede Básica + Ajuste'!L70,Indexador!$J$25:$J$48)</f>
        <v>0</v>
      </c>
      <c r="M72" s="1247">
        <f>SUMIF(Indexador!$B$25:$B$48,'Rede Básica + Ajuste'!M70,Indexador!$J$25:$J$48)</f>
        <v>0</v>
      </c>
      <c r="N72" s="1247">
        <f>SUMIF(Indexador!$B$25:$B$48,'Rede Básica + Ajuste'!N70,Indexador!$J$25:$J$48)</f>
        <v>0</v>
      </c>
      <c r="O72" s="1247">
        <f>SUMIF(Indexador!$B$25:$B$48,'Rede Básica + Ajuste'!O70,Indexador!$J$25:$J$48)</f>
        <v>0</v>
      </c>
      <c r="P72" s="1247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11" t="s">
        <v>1170</v>
      </c>
      <c r="K74" s="1812"/>
      <c r="L74" s="1810" t="s">
        <v>1171</v>
      </c>
      <c r="M74" s="1810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13" t="s">
        <v>1153</v>
      </c>
      <c r="D75" s="1814"/>
      <c r="F75" s="270"/>
      <c r="G75" s="1248" t="s">
        <v>646</v>
      </c>
      <c r="H75" s="1249" t="s">
        <v>1172</v>
      </c>
      <c r="I75" s="1249" t="s">
        <v>1173</v>
      </c>
      <c r="J75" s="1250" t="s">
        <v>1174</v>
      </c>
      <c r="K75" s="1250" t="s">
        <v>1175</v>
      </c>
      <c r="L75" s="1250" t="s">
        <v>1174</v>
      </c>
      <c r="M75" s="1250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5" t="s">
        <v>1177</v>
      </c>
      <c r="D76" s="1251">
        <f>IF(D18="Ponta",B18,0)</f>
        <v>0</v>
      </c>
      <c r="E76" s="18"/>
      <c r="F76" s="270"/>
      <c r="G76" s="1252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3">
        <f>IF(MONTH(DataRevRea)=7,'Rede Básica + Ajuste'!J76,IF(G76&lt;$Q$69,(SUMIFS($E$18:$E$60,$B$18:$B$60,$D$76,$D$18:$D$60,"Ponta")),(SUMIFS($F$18:$F$60,$B$18:$B$60,$D$76,$D$18:$D$60,"Ponta"))))</f>
        <v>0</v>
      </c>
      <c r="M76" s="1253">
        <f>IF(MONTH(DataRevRea)=7,'Rede Básica + Ajuste'!K76,IF(G76&lt;$Q$69,(SUMIFS($E$18:$E$60,$B$18:$B$60,$D$76,$D$18:$D$60,"Fora Ponta")),(SUMIFS($F$18:$F$60,$B$18:$B$60,$D$76,$D$18:$D$60,"Fora Ponta"))))</f>
        <v>0</v>
      </c>
      <c r="N76" s="1254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5" t="s">
        <v>1178</v>
      </c>
      <c r="E78" s="1256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7" t="str">
        <f>"Cobertura "&amp;YEAR(CAPA!C14)</f>
        <v>Cobertura 2021</v>
      </c>
      <c r="D79" s="1258">
        <f>SUMPRODUCT(H76:H87,J76:J87)</f>
        <v>0</v>
      </c>
      <c r="E79" s="1258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7" t="s">
        <v>1180</v>
      </c>
      <c r="D80" s="1258">
        <f>SUMPRODUCT(H76:H87,L76:L87)</f>
        <v>0</v>
      </c>
      <c r="E80" s="1258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9">
        <f t="shared" si="12"/>
        <v>44774</v>
      </c>
      <c r="H87" s="1260">
        <f>SUMIFS($Y$18:$Y$60,$B$18:$B$60,$D$76,$D$18:$D$60,"Ponta")</f>
        <v>0</v>
      </c>
      <c r="I87" s="1260">
        <f>SUMIFS($Y$18:$Y$60,$B$18:$B$60,$D$76,$D$18:$D$60,"Fora Ponta")</f>
        <v>0</v>
      </c>
      <c r="J87" s="1260">
        <f t="shared" si="9"/>
        <v>0</v>
      </c>
      <c r="K87" s="1260">
        <f t="shared" si="10"/>
        <v>0</v>
      </c>
      <c r="L87" s="1260">
        <f>IF(MONTH(DataRevRea)=7,'Rede Básica + Ajuste'!J87,IF(G87&lt;$Q$69,(SUMIFS($E$18:$E$60,$B$18:$B$60,$D$76,$D$18:$D$60,"Ponta")),(SUMIFS($F$18:$F$60,$B$18:$B$60,$D$76,$D$18:$D$60,"Ponta"))))</f>
        <v>0</v>
      </c>
      <c r="M87" s="1260">
        <f>IF(MONTH(DataRevRea)=7,'Rede Básica + Ajuste'!K87,IF(G87&lt;$Q$69,(SUMIFS($E$18:$E$60,$B$18:$B$60,$D$76,$D$18:$D$60,"Fora Ponta")),(SUMIFS($F$18:$F$60,$B$18:$B$60,$D$76,$D$18:$D$60,"Fora Ponta"))))</f>
        <v>0</v>
      </c>
      <c r="N87" s="1261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11" t="s">
        <v>1170</v>
      </c>
      <c r="K89" s="1812"/>
      <c r="L89" s="1810" t="s">
        <v>1171</v>
      </c>
      <c r="M89" s="1810"/>
      <c r="N89" s="278"/>
    </row>
    <row r="90" spans="2:50" ht="15.75">
      <c r="C90" s="1813" t="s">
        <v>1181</v>
      </c>
      <c r="D90" s="1814"/>
      <c r="F90" s="270"/>
      <c r="G90" s="1248" t="s">
        <v>646</v>
      </c>
      <c r="H90" s="1249" t="s">
        <v>1172</v>
      </c>
      <c r="I90" s="1249" t="s">
        <v>1173</v>
      </c>
      <c r="J90" s="1250" t="s">
        <v>1174</v>
      </c>
      <c r="K90" s="1250" t="s">
        <v>1175</v>
      </c>
      <c r="L90" s="1250" t="s">
        <v>1174</v>
      </c>
      <c r="M90" s="1250" t="s">
        <v>1175</v>
      </c>
      <c r="N90" s="277" t="s">
        <v>1176</v>
      </c>
    </row>
    <row r="91" spans="2:50" ht="15.75">
      <c r="C91" s="1245" t="s">
        <v>1177</v>
      </c>
      <c r="D91" s="1251">
        <f>IF(D18="Ponta",B18,0)</f>
        <v>0</v>
      </c>
      <c r="E91" s="18"/>
      <c r="F91" s="270"/>
      <c r="G91" s="1252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3">
        <f>IF(MONTH(DataRevRea)=7,'Rede Básica + Ajuste'!J91,IF(G91&lt;$Q$69,(SUMIFS($G$18:$G$60,$B$18:$B$60,$D$91,$D$18:$D$60,"Ponta")),(SUMIFS($H$18:$H$60,$B$18:$B$60,$D$91,$D$18:$D$60,"Ponta"))))</f>
        <v>0</v>
      </c>
      <c r="M91" s="1253">
        <f>IF(MONTH(DataRevRea)=7,'Rede Básica + Ajuste'!K91,IF(G91&lt;$Q$69,(SUMIFS($G$18:$G$60,$B$18:$B$60,$D$91,$D$18:$D$60,"Fora Ponta")),(SUMIFS($H$18:$H$60,$B$18:$B$60,$D$91,$D$18:$D$60,"Fora Ponta"))))</f>
        <v>0</v>
      </c>
      <c r="N91" s="1254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5" t="s">
        <v>1178</v>
      </c>
      <c r="E93" s="1256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7" t="str">
        <f>C79</f>
        <v>Cobertura 2021</v>
      </c>
      <c r="D94" s="1258">
        <f>SUMPRODUCT(H91:H102,J91:J102)</f>
        <v>0</v>
      </c>
      <c r="E94" s="1258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7" t="s">
        <v>1180</v>
      </c>
      <c r="D95" s="1258">
        <f>SUMPRODUCT(H91:H102,L91:L102)</f>
        <v>0</v>
      </c>
      <c r="E95" s="1258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9">
        <f t="shared" si="13"/>
        <v>44774</v>
      </c>
      <c r="H102" s="1260">
        <f t="shared" si="13"/>
        <v>0</v>
      </c>
      <c r="I102" s="1260">
        <f t="shared" si="13"/>
        <v>0</v>
      </c>
      <c r="J102" s="1260">
        <f t="shared" si="14"/>
        <v>0</v>
      </c>
      <c r="K102" s="1260">
        <f t="shared" si="15"/>
        <v>0</v>
      </c>
      <c r="L102" s="1260">
        <f>IF(MONTH(DataRevRea)=7,'Rede Básica + Ajuste'!J102,IF(G102&lt;$Q$69,(SUMIFS($G$18:$G$60,$B$18:$B$60,$D$91,$D$18:$D$60,"Ponta")),(SUMIFS($H$18:$H$60,$B$18:$B$60,$D$91,$D$18:$D$60,"Ponta"))))</f>
        <v>0</v>
      </c>
      <c r="M102" s="1260">
        <f>IF(MONTH(DataRevRea)=7,'Rede Básica + Ajuste'!K102,IF(G102&lt;$Q$69,(SUMIFS($G$18:$G$60,$B$18:$B$60,$D$91,$D$18:$D$60,"Fora Ponta")),(SUMIFS($H$18:$H$60,$B$18:$B$60,$D$91,$D$18:$D$60,"Fora Ponta"))))</f>
        <v>0</v>
      </c>
      <c r="N102" s="1261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11" t="s">
        <v>1170</v>
      </c>
      <c r="K104" s="1812"/>
      <c r="L104" s="1810" t="s">
        <v>1171</v>
      </c>
      <c r="M104" s="1810"/>
      <c r="N104" s="278"/>
    </row>
    <row r="105" spans="3:14" ht="15.75">
      <c r="C105" s="1813" t="s">
        <v>1153</v>
      </c>
      <c r="D105" s="1814"/>
      <c r="F105" s="270"/>
      <c r="G105" s="1248" t="s">
        <v>646</v>
      </c>
      <c r="H105" s="1249" t="s">
        <v>1172</v>
      </c>
      <c r="I105" s="1249" t="s">
        <v>1173</v>
      </c>
      <c r="J105" s="1250" t="s">
        <v>1174</v>
      </c>
      <c r="K105" s="1250" t="s">
        <v>1175</v>
      </c>
      <c r="L105" s="1250" t="s">
        <v>1174</v>
      </c>
      <c r="M105" s="1250" t="s">
        <v>1175</v>
      </c>
      <c r="N105" s="277" t="s">
        <v>1176</v>
      </c>
    </row>
    <row r="106" spans="3:14" ht="15.75">
      <c r="C106" s="1245" t="s">
        <v>1177</v>
      </c>
      <c r="D106" s="1262">
        <f>IF(D19="Ponta",B19,0)</f>
        <v>0</v>
      </c>
      <c r="E106" s="18"/>
      <c r="F106" s="270"/>
      <c r="G106" s="1252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3">
        <f>IF(MONTH(DataRevRea)=7,'Rede Básica + Ajuste'!J106,IF(G106&lt;$Q$69,(SUMIFS($E$18:$E$60,$B$18:$B$60,$D$106,$D$18:$D$60,"Ponta")),(SUMIFS($F$18:$F$60,$B$18:$B$60,$D$106,$D$18:$D$60,"Ponta"))))</f>
        <v>0</v>
      </c>
      <c r="M106" s="1253">
        <f>IF(MONTH(DataRevRea)=7,'Rede Básica + Ajuste'!K106,IF(G106&lt;$Q$69,(SUMIFS($E$18:$E$60,$B$18:$B$60,$D$106,$D$18:$D$60,"Fora Ponta")),(SUMIFS($F$18:$F$60,$B$18:$B$60,$D$106,$D$18:$D$60,"Fora Ponta"))))</f>
        <v>0</v>
      </c>
      <c r="N106" s="1254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5" t="s">
        <v>1178</v>
      </c>
      <c r="E108" s="1256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7" t="str">
        <f>C94</f>
        <v>Cobertura 2021</v>
      </c>
      <c r="D109" s="1258">
        <f>SUMPRODUCT(H106:H117,J106:J117)</f>
        <v>0</v>
      </c>
      <c r="E109" s="1258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7" t="s">
        <v>1180</v>
      </c>
      <c r="D110" s="1258">
        <f>SUMPRODUCT(H106:H117,L106:L117)</f>
        <v>0</v>
      </c>
      <c r="E110" s="1258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9">
        <f t="shared" si="17"/>
        <v>44774</v>
      </c>
      <c r="H117" s="1260">
        <f>SUMIFS($Y$18:$Y$60,$B$18:$B$60,$D$106,$D$18:$D$60,"Ponta")</f>
        <v>0</v>
      </c>
      <c r="I117" s="1260">
        <f>SUMIFS($Y$18:$Y$60,$B$18:$B$60,$D$106,$D$18:$D$60,"Fora Ponta")</f>
        <v>0</v>
      </c>
      <c r="J117" s="1260">
        <f t="shared" si="18"/>
        <v>0</v>
      </c>
      <c r="K117" s="1260">
        <f t="shared" si="19"/>
        <v>0</v>
      </c>
      <c r="L117" s="1260">
        <f>IF(MONTH(DataRevRea)=7,'Rede Básica + Ajuste'!J117,IF(G117&lt;$Q$69,(SUMIFS($E$18:$E$60,$B$18:$B$60,$D$106,$D$18:$D$60,"Ponta")),(SUMIFS($F$18:$F$60,$B$18:$B$60,$D$106,$D$18:$D$60,"Ponta"))))</f>
        <v>0</v>
      </c>
      <c r="M117" s="1260">
        <f>IF(MONTH(DataRevRea)=7,'Rede Básica + Ajuste'!K117,IF(G117&lt;$Q$69,(SUMIFS($E$18:$E$60,$B$18:$B$60,$D$106,$D$18:$D$60,"Fora Ponta")),(SUMIFS($F$18:$F$60,$B$18:$B$60,$D$106,$D$18:$D$60,"Fora Ponta"))))</f>
        <v>0</v>
      </c>
      <c r="N117" s="1261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11" t="s">
        <v>1170</v>
      </c>
      <c r="K119" s="1812"/>
      <c r="L119" s="1810" t="s">
        <v>1171</v>
      </c>
      <c r="M119" s="1810"/>
      <c r="N119" s="278"/>
    </row>
    <row r="120" spans="3:14" ht="15.75">
      <c r="C120" s="1813" t="s">
        <v>1181</v>
      </c>
      <c r="D120" s="1814"/>
      <c r="F120" s="270"/>
      <c r="G120" s="1248" t="s">
        <v>646</v>
      </c>
      <c r="H120" s="1249" t="s">
        <v>1172</v>
      </c>
      <c r="I120" s="1249" t="s">
        <v>1173</v>
      </c>
      <c r="J120" s="1250" t="s">
        <v>1174</v>
      </c>
      <c r="K120" s="1250" t="s">
        <v>1175</v>
      </c>
      <c r="L120" s="1250" t="s">
        <v>1174</v>
      </c>
      <c r="M120" s="1250" t="s">
        <v>1175</v>
      </c>
      <c r="N120" s="277" t="s">
        <v>1176</v>
      </c>
    </row>
    <row r="121" spans="3:14" ht="15.75">
      <c r="C121" s="1245" t="s">
        <v>1177</v>
      </c>
      <c r="D121" s="1262">
        <f>IF(D19="Ponta",B19,0)</f>
        <v>0</v>
      </c>
      <c r="E121" s="18"/>
      <c r="F121" s="270"/>
      <c r="G121" s="1252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3">
        <f>IF(MONTH(DataRevRea)=7,'Rede Básica + Ajuste'!J121,IF(G121&lt;$Q$69,(SUMIFS($G$18:$G$60,$B$18:$B$60,$D$121,$D$18:$D$60,"Ponta")),(SUMIFS($H$18:$H$60,$B$18:$B$60,$D$121,$D$18:$D$60,"Ponta"))))</f>
        <v>0</v>
      </c>
      <c r="M121" s="1253">
        <f>IF(MONTH(DataRevRea)=7,'Rede Básica + Ajuste'!K121,IF(G121&lt;$Q$69,(SUMIFS($G$18:$G$60,$B$18:$B$60,$D$121,$D$18:$D$60,"Fora Ponta")),(SUMIFS($H$18:$H$60,$B$18:$B$60,$D$121,$D$18:$D$60,"Fora Ponta"))))</f>
        <v>0</v>
      </c>
      <c r="N121" s="1254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5" t="s">
        <v>1178</v>
      </c>
      <c r="E123" s="1256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7" t="str">
        <f>C109</f>
        <v>Cobertura 2021</v>
      </c>
      <c r="D124" s="1258">
        <f>SUMPRODUCT(H121:H132,J121:J132)</f>
        <v>0</v>
      </c>
      <c r="E124" s="1258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7" t="s">
        <v>1180</v>
      </c>
      <c r="D125" s="1258">
        <f>SUMPRODUCT(H121:H132,L121:L132)</f>
        <v>0</v>
      </c>
      <c r="E125" s="1258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9">
        <f t="shared" si="21"/>
        <v>44774</v>
      </c>
      <c r="H132" s="1260">
        <f t="shared" si="21"/>
        <v>0</v>
      </c>
      <c r="I132" s="1260">
        <f t="shared" si="21"/>
        <v>0</v>
      </c>
      <c r="J132" s="1260">
        <f t="shared" si="22"/>
        <v>0</v>
      </c>
      <c r="K132" s="1260">
        <f t="shared" si="23"/>
        <v>0</v>
      </c>
      <c r="L132" s="1260">
        <f>IF(MONTH(DataRevRea)=7,'Rede Básica + Ajuste'!J132,IF(G132&lt;$Q$69,(SUMIFS($G$18:$G$60,$B$18:$B$60,$D$121,$D$18:$D$60,"Ponta")),(SUMIFS($H$18:$H$60,$B$18:$B$60,$D$121,$D$18:$D$60,"Ponta"))))</f>
        <v>0</v>
      </c>
      <c r="M132" s="1260">
        <f>IF(MONTH(DataRevRea)=7,'Rede Básica + Ajuste'!K132,IF(G132&lt;$Q$69,(SUMIFS($G$18:$G$60,$B$18:$B$60,$D$121,$D$18:$D$60,"Fora Ponta")),(SUMIFS($H$18:$H$60,$B$18:$B$60,$D$121,$D$18:$D$60,"Fora Ponta"))))</f>
        <v>0</v>
      </c>
      <c r="N132" s="1261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11" t="s">
        <v>1170</v>
      </c>
      <c r="K134" s="1812"/>
      <c r="L134" s="1810" t="s">
        <v>1171</v>
      </c>
      <c r="M134" s="1810"/>
      <c r="N134" s="278"/>
    </row>
    <row r="135" spans="3:14" ht="15.75">
      <c r="C135" s="1813" t="s">
        <v>1153</v>
      </c>
      <c r="D135" s="1814"/>
      <c r="F135" s="270"/>
      <c r="G135" s="1248" t="s">
        <v>646</v>
      </c>
      <c r="H135" s="1249" t="s">
        <v>1172</v>
      </c>
      <c r="I135" s="1249" t="s">
        <v>1173</v>
      </c>
      <c r="J135" s="1250" t="s">
        <v>1174</v>
      </c>
      <c r="K135" s="1250" t="s">
        <v>1175</v>
      </c>
      <c r="L135" s="1250" t="s">
        <v>1174</v>
      </c>
      <c r="M135" s="1250" t="s">
        <v>1175</v>
      </c>
      <c r="N135" s="277" t="s">
        <v>1176</v>
      </c>
    </row>
    <row r="136" spans="3:14" ht="15.75">
      <c r="C136" s="1245" t="s">
        <v>1177</v>
      </c>
      <c r="D136" s="1262">
        <f>IF(D20="Ponta",B20,0)</f>
        <v>0</v>
      </c>
      <c r="E136" s="18"/>
      <c r="F136" s="270"/>
      <c r="G136" s="1252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3">
        <f>IF(MONTH(DataRevRea)=7,'Rede Básica + Ajuste'!J136,IF(G136&lt;$Q$69,(SUMIFS($E$18:$E$60,$B$18:$B$60,$D$136,$D$18:$D$60,"Ponta")),(SUMIFS($F$18:$F$60,$B$18:$B$60,$D$136,$D$18:$D$60,"Ponta"))))</f>
        <v>0</v>
      </c>
      <c r="M136" s="1253">
        <f>IF(MONTH(DataRevRea)=7,'Rede Básica + Ajuste'!K136,IF(G136&lt;$Q$69,(SUMIFS($E$18:$E$60,$B$18:$B$60,$D$136,$D$18:$D$60,"Fora Ponta")),(SUMIFS($F$18:$F$60,$B$18:$B$60,$D$136,$D$18:$D$60,"Fora Ponta"))))</f>
        <v>0</v>
      </c>
      <c r="N136" s="1254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5" t="s">
        <v>1178</v>
      </c>
      <c r="E138" s="1256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7" t="str">
        <f>C124</f>
        <v>Cobertura 2021</v>
      </c>
      <c r="D139" s="1258">
        <f>SUMPRODUCT(H136:H147,J136:J147)</f>
        <v>0</v>
      </c>
      <c r="E139" s="1258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7" t="s">
        <v>1180</v>
      </c>
      <c r="D140" s="1258">
        <f>SUMPRODUCT(H136:H147,L136:L147)</f>
        <v>0</v>
      </c>
      <c r="E140" s="1258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9">
        <f t="shared" si="25"/>
        <v>44774</v>
      </c>
      <c r="H147" s="1260">
        <f>SUMIFS($Y$18:$Y$60,$B$18:$B$60,$D$136,$D$18:$D$60,"Ponta")</f>
        <v>0</v>
      </c>
      <c r="I147" s="1260">
        <f>SUMIFS($Y$18:$Y$60,$B$18:$B$60,$D$136,$D$18:$D$60,"Fora Ponta")</f>
        <v>0</v>
      </c>
      <c r="J147" s="1260">
        <f t="shared" si="26"/>
        <v>0</v>
      </c>
      <c r="K147" s="1260">
        <f t="shared" si="27"/>
        <v>0</v>
      </c>
      <c r="L147" s="1260">
        <f>IF(MONTH(DataRevRea)=7,'Rede Básica + Ajuste'!J147,IF(G147&lt;$Q$69,(SUMIFS($E$18:$E$60,$B$18:$B$60,$D$136,$D$18:$D$60,"Ponta")),(SUMIFS($F$18:$F$60,$B$18:$B$60,$D$136,$D$18:$D$60,"Ponta"))))</f>
        <v>0</v>
      </c>
      <c r="M147" s="1260">
        <f>IF(MONTH(DataRevRea)=7,'Rede Básica + Ajuste'!K147,IF(G147&lt;$Q$69,(SUMIFS($E$18:$E$60,$B$18:$B$60,$D$136,$D$18:$D$60,"Fora Ponta")),(SUMIFS($F$18:$F$60,$B$18:$B$60,$D$136,$D$18:$D$60,"Fora Ponta"))))</f>
        <v>0</v>
      </c>
      <c r="N147" s="1261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11" t="s">
        <v>1170</v>
      </c>
      <c r="K149" s="1812"/>
      <c r="L149" s="1810" t="s">
        <v>1171</v>
      </c>
      <c r="M149" s="1810"/>
      <c r="N149" s="278"/>
    </row>
    <row r="150" spans="3:14" ht="15.75">
      <c r="C150" s="1813" t="s">
        <v>1181</v>
      </c>
      <c r="D150" s="1814"/>
      <c r="F150" s="270"/>
      <c r="G150" s="1248" t="s">
        <v>646</v>
      </c>
      <c r="H150" s="1249" t="s">
        <v>1172</v>
      </c>
      <c r="I150" s="1249" t="s">
        <v>1173</v>
      </c>
      <c r="J150" s="1250" t="s">
        <v>1174</v>
      </c>
      <c r="K150" s="1250" t="s">
        <v>1175</v>
      </c>
      <c r="L150" s="1250" t="s">
        <v>1174</v>
      </c>
      <c r="M150" s="1250" t="s">
        <v>1175</v>
      </c>
      <c r="N150" s="277" t="s">
        <v>1176</v>
      </c>
    </row>
    <row r="151" spans="3:14" ht="15.75">
      <c r="C151" s="1245" t="s">
        <v>1177</v>
      </c>
      <c r="D151" s="1262">
        <f>IF(D20="Ponta",B20,0)</f>
        <v>0</v>
      </c>
      <c r="E151" s="18"/>
      <c r="F151" s="270"/>
      <c r="G151" s="1252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3">
        <f>IF(MONTH(DataRevRea)=7,'Rede Básica + Ajuste'!J151,IF(G151&lt;$Q$69,(SUMIFS($G$18:$G$60,$B$18:$B$60,$D$151,$D$18:$D$60,"Ponta")),(SUMIFS($H$18:$H$60,$B$18:$B$60,$D$151,$D$18:$D$60,"Ponta"))))</f>
        <v>0</v>
      </c>
      <c r="M151" s="1253">
        <f>IF(MONTH(DataRevRea)=7,'Rede Básica + Ajuste'!K151,IF(G151&lt;$Q$69,(SUMIFS($G$18:$G$60,$B$18:$B$60,$D$151,$D$18:$D$60,"Fora Ponta")),(SUMIFS($H$18:$H$60,$B$18:$B$60,$D$151,$D$18:$D$60,"Fora Ponta"))))</f>
        <v>0</v>
      </c>
      <c r="N151" s="1254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5" t="s">
        <v>1178</v>
      </c>
      <c r="E153" s="1256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7" t="str">
        <f>C139</f>
        <v>Cobertura 2021</v>
      </c>
      <c r="D154" s="1258">
        <f>SUMPRODUCT(H151:H162,J151:J162)</f>
        <v>0</v>
      </c>
      <c r="E154" s="1258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7" t="s">
        <v>1180</v>
      </c>
      <c r="D155" s="1258">
        <f>SUMPRODUCT(H151:H162,L151:L162)</f>
        <v>0</v>
      </c>
      <c r="E155" s="1258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9">
        <f t="shared" si="29"/>
        <v>44774</v>
      </c>
      <c r="H162" s="1260">
        <f t="shared" si="29"/>
        <v>0</v>
      </c>
      <c r="I162" s="1260">
        <f t="shared" si="29"/>
        <v>0</v>
      </c>
      <c r="J162" s="1260">
        <f t="shared" si="30"/>
        <v>0</v>
      </c>
      <c r="K162" s="1260">
        <f t="shared" si="31"/>
        <v>0</v>
      </c>
      <c r="L162" s="1260">
        <f>IF(MONTH(DataRevRea)=7,'Rede Básica + Ajuste'!J162,IF(G162&lt;$Q$69,(SUMIFS($G$18:$G$60,$B$18:$B$60,$D$151,$D$18:$D$60,"Ponta")),(SUMIFS($H$18:$H$60,$B$18:$B$60,$D$151,$D$18:$D$60,"Ponta"))))</f>
        <v>0</v>
      </c>
      <c r="M162" s="1260">
        <f>IF(MONTH(DataRevRea)=7,'Rede Básica + Ajuste'!K162,IF(G162&lt;$Q$69,(SUMIFS($G$18:$G$60,$B$18:$B$60,$D$151,$D$18:$D$60,"Fora Ponta")),(SUMIFS($H$18:$H$60,$B$18:$B$60,$D$151,$D$18:$D$60,"Fora Ponta"))))</f>
        <v>0</v>
      </c>
      <c r="N162" s="1261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11" t="s">
        <v>1170</v>
      </c>
      <c r="K164" s="1812"/>
      <c r="L164" s="1810" t="s">
        <v>1171</v>
      </c>
      <c r="M164" s="1810"/>
      <c r="N164" s="278"/>
    </row>
    <row r="165" spans="3:14" ht="15.75">
      <c r="C165" s="1813" t="s">
        <v>1153</v>
      </c>
      <c r="D165" s="1814"/>
      <c r="F165" s="270"/>
      <c r="G165" s="1248" t="s">
        <v>646</v>
      </c>
      <c r="H165" s="1249" t="s">
        <v>1172</v>
      </c>
      <c r="I165" s="1249" t="s">
        <v>1173</v>
      </c>
      <c r="J165" s="1250" t="s">
        <v>1174</v>
      </c>
      <c r="K165" s="1250" t="s">
        <v>1175</v>
      </c>
      <c r="L165" s="1250" t="s">
        <v>1174</v>
      </c>
      <c r="M165" s="1250" t="s">
        <v>1175</v>
      </c>
      <c r="N165" s="277" t="s">
        <v>1176</v>
      </c>
    </row>
    <row r="166" spans="3:14" ht="15.75">
      <c r="C166" s="1245" t="s">
        <v>1177</v>
      </c>
      <c r="D166" s="1262">
        <f>IF(D21="Ponta",B21,0)</f>
        <v>0</v>
      </c>
      <c r="E166" s="18"/>
      <c r="F166" s="270"/>
      <c r="G166" s="1252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3">
        <f>IF(MONTH(DataRevRea)=7,'Rede Básica + Ajuste'!J166,IF(G166&lt;$Q$69,(SUMIFS($E$18:$E$60,$B$18:$B$60,$D$166,$D$18:$D$60,"Ponta")),(SUMIFS($F$18:$F$60,$B$18:$B$60,$D$166,$D$18:$D$60,"Ponta"))))</f>
        <v>0</v>
      </c>
      <c r="M166" s="1253">
        <f>IF(MONTH(DataRevRea)=7,'Rede Básica + Ajuste'!K166,IF(G166&lt;$Q$69,(SUMIFS($E$18:$E$60,$B$18:$B$60,$D$166,$D$18:$D$60,"Fora Ponta")),(SUMIFS($F$18:$F$60,$B$18:$B$60,$D$166,$D$18:$D$60,"Fora Ponta"))))</f>
        <v>0</v>
      </c>
      <c r="N166" s="1254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5" t="s">
        <v>1178</v>
      </c>
      <c r="E168" s="1256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7" t="str">
        <f>C154</f>
        <v>Cobertura 2021</v>
      </c>
      <c r="D169" s="1258">
        <f>SUMPRODUCT(H166:H177,J166:J177)</f>
        <v>0</v>
      </c>
      <c r="E169" s="1258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7" t="s">
        <v>1180</v>
      </c>
      <c r="D170" s="1258">
        <f>SUMPRODUCT(H166:H177,L166:L177)</f>
        <v>0</v>
      </c>
      <c r="E170" s="1258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9">
        <f t="shared" si="33"/>
        <v>44774</v>
      </c>
      <c r="H177" s="1260">
        <f>SUMIFS($Y$18:$Y$60,$B$18:$B$60,$D$166,$D$18:$D$60,"Ponta")</f>
        <v>0</v>
      </c>
      <c r="I177" s="1260">
        <f>SUMIFS($Y$18:$Y$60,$B$18:$B$60,$D$166,$D$18:$D$60,"Fora Ponta")</f>
        <v>0</v>
      </c>
      <c r="J177" s="1260">
        <f t="shared" si="34"/>
        <v>0</v>
      </c>
      <c r="K177" s="1260">
        <f t="shared" si="35"/>
        <v>0</v>
      </c>
      <c r="L177" s="1260">
        <f>IF(MONTH(DataRevRea)=7,'Rede Básica + Ajuste'!J177,IF(G177&lt;$Q$69,(SUMIFS($E$18:$E$60,$B$18:$B$60,$D$166,$D$18:$D$60,"Ponta")),(SUMIFS($F$18:$F$60,$B$18:$B$60,$D$166,$D$18:$D$60,"Ponta"))))</f>
        <v>0</v>
      </c>
      <c r="M177" s="1260">
        <f>IF(MONTH(DataRevRea)=7,'Rede Básica + Ajuste'!K177,IF(G177&lt;$Q$69,(SUMIFS($E$18:$E$60,$B$18:$B$60,$D$166,$D$18:$D$60,"Fora Ponta")),(SUMIFS($F$18:$F$60,$B$18:$B$60,$D$166,$D$18:$D$60,"Fora Ponta"))))</f>
        <v>0</v>
      </c>
      <c r="N177" s="1261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11" t="s">
        <v>1170</v>
      </c>
      <c r="K179" s="1812"/>
      <c r="L179" s="1810" t="s">
        <v>1171</v>
      </c>
      <c r="M179" s="1810"/>
      <c r="N179" s="278"/>
    </row>
    <row r="180" spans="3:14" ht="15.75">
      <c r="C180" s="1813" t="s">
        <v>1181</v>
      </c>
      <c r="D180" s="1814"/>
      <c r="F180" s="270"/>
      <c r="G180" s="1248" t="s">
        <v>646</v>
      </c>
      <c r="H180" s="1249" t="s">
        <v>1172</v>
      </c>
      <c r="I180" s="1249" t="s">
        <v>1173</v>
      </c>
      <c r="J180" s="1250" t="s">
        <v>1174</v>
      </c>
      <c r="K180" s="1250" t="s">
        <v>1175</v>
      </c>
      <c r="L180" s="1250" t="s">
        <v>1174</v>
      </c>
      <c r="M180" s="1250" t="s">
        <v>1175</v>
      </c>
      <c r="N180" s="277" t="s">
        <v>1176</v>
      </c>
    </row>
    <row r="181" spans="3:14" ht="15.75">
      <c r="C181" s="1245" t="s">
        <v>1177</v>
      </c>
      <c r="D181" s="1262">
        <f>IF(D21="Ponta",B21,0)</f>
        <v>0</v>
      </c>
      <c r="E181" s="18"/>
      <c r="F181" s="270"/>
      <c r="G181" s="1252">
        <f>G166</f>
        <v>44440</v>
      </c>
      <c r="H181" s="272">
        <f>H166</f>
        <v>0</v>
      </c>
      <c r="I181" s="272">
        <f>I166</f>
        <v>0</v>
      </c>
      <c r="J181" s="1253">
        <f>SUMIFS($G$18:$G$60,$B$18:$B$60,$D$181,$D$18:$D$60,"Ponta")</f>
        <v>0</v>
      </c>
      <c r="K181" s="1253">
        <f>SUMIFS($G$18:$G$60,$B$18:$B$60,$D$181,$D$18:$D$60,"Fora Ponta")</f>
        <v>0</v>
      </c>
      <c r="L181" s="1253">
        <f>IF(MONTH(DataRevRea)=7,'Rede Básica + Ajuste'!J181,IF(G181&lt;$Q$69,(SUMIFS($G$18:$G$60,$B$18:$B$60,$D$181,$D$18:$D$60,"Ponta")),(SUMIFS($H$18:$H$60,$B$18:$B$60,$D$181,$D$18:$D$60,"Ponta"))))</f>
        <v>0</v>
      </c>
      <c r="M181" s="1253">
        <f>IF(MONTH(DataRevRea)=7,'Rede Básica + Ajuste'!K181,IF(G181&lt;$Q$69,(SUMIFS($G$18:$G$60,$B$18:$B$60,$D$181,$D$18:$D$60,"Fora Ponta")),(SUMIFS($H$18:$H$60,$B$18:$B$60,$D$181,$D$18:$D$60,"Fora Ponta"))))</f>
        <v>0</v>
      </c>
      <c r="N181" s="1254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5" t="s">
        <v>1178</v>
      </c>
      <c r="E183" s="1256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7" t="str">
        <f>C169</f>
        <v>Cobertura 2021</v>
      </c>
      <c r="D184" s="1258">
        <f>SUMPRODUCT(H181:H192,J181:J192)</f>
        <v>0</v>
      </c>
      <c r="E184" s="1258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7" t="s">
        <v>1180</v>
      </c>
      <c r="D185" s="1258">
        <f>SUMPRODUCT(H181:H192,L181:L192)</f>
        <v>0</v>
      </c>
      <c r="E185" s="1258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9">
        <f t="shared" si="37"/>
        <v>44774</v>
      </c>
      <c r="H192" s="1260">
        <f t="shared" si="37"/>
        <v>0</v>
      </c>
      <c r="I192" s="1260">
        <f t="shared" si="37"/>
        <v>0</v>
      </c>
      <c r="J192" s="1260">
        <f t="shared" si="38"/>
        <v>0</v>
      </c>
      <c r="K192" s="1260">
        <f t="shared" si="39"/>
        <v>0</v>
      </c>
      <c r="L192" s="1260">
        <f>IF(MONTH(DataRevRea)=7,'Rede Básica + Ajuste'!J192,IF(G192&lt;$Q$69,(SUMIFS($G$18:$G$60,$B$18:$B$60,$D$181,$D$18:$D$60,"Ponta")),(SUMIFS($H$18:$H$60,$B$18:$B$60,$D$181,$D$18:$D$60,"Ponta"))))</f>
        <v>0</v>
      </c>
      <c r="M192" s="1260">
        <f>IF(MONTH(DataRevRea)=7,'Rede Básica + Ajuste'!K192,IF(G192&lt;$Q$69,(SUMIFS($G$18:$G$60,$B$18:$B$60,$D$181,$D$18:$D$60,"Fora Ponta")),(SUMIFS($H$18:$H$60,$B$18:$B$60,$D$181,$D$18:$D$60,"Fora Ponta"))))</f>
        <v>0</v>
      </c>
      <c r="N192" s="1261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11" t="s">
        <v>1170</v>
      </c>
      <c r="K194" s="1812"/>
      <c r="L194" s="1810" t="s">
        <v>1171</v>
      </c>
      <c r="M194" s="1810"/>
      <c r="N194" s="278"/>
    </row>
    <row r="195" spans="3:14" ht="15.75">
      <c r="C195" s="1813" t="s">
        <v>1153</v>
      </c>
      <c r="D195" s="1814"/>
      <c r="F195" s="270"/>
      <c r="G195" s="1248" t="s">
        <v>646</v>
      </c>
      <c r="H195" s="1249" t="s">
        <v>1172</v>
      </c>
      <c r="I195" s="1249" t="s">
        <v>1173</v>
      </c>
      <c r="J195" s="1250" t="s">
        <v>1174</v>
      </c>
      <c r="K195" s="1250" t="s">
        <v>1175</v>
      </c>
      <c r="L195" s="1250" t="s">
        <v>1174</v>
      </c>
      <c r="M195" s="1250" t="s">
        <v>1175</v>
      </c>
      <c r="N195" s="277" t="s">
        <v>1176</v>
      </c>
    </row>
    <row r="196" spans="3:14" ht="15.75">
      <c r="C196" s="1245" t="s">
        <v>1177</v>
      </c>
      <c r="D196" s="1262">
        <f>IF(D22="Ponta",B22,0)</f>
        <v>0</v>
      </c>
      <c r="E196" s="18"/>
      <c r="F196" s="270"/>
      <c r="G196" s="1252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3">
        <f>SUMIFS($E$18:$E$60,$B$18:$B$60,$D$196,$D$18:$D$60,"Ponta")</f>
        <v>0</v>
      </c>
      <c r="K196" s="1253">
        <f>SUMIFS($E$18:$E$60,$B$18:$B$60,$D$196,$D$18:$D$60,"Fora Ponta")</f>
        <v>0</v>
      </c>
      <c r="L196" s="1253">
        <f>IF(MONTH(DataRevRea)=7,'Rede Básica + Ajuste'!J196,IF(G196&lt;$Q$69,(SUMIFS($E$18:$E$60,$B$18:$B$60,$D$196,$D$18:$D$60,"Ponta")),(SUMIFS($F$18:$F$60,$B$18:$B$60,$D$196,$D$18:$D$60,"Ponta"))))</f>
        <v>0</v>
      </c>
      <c r="M196" s="1253">
        <f>IF(MONTH(DataRevRea)=7,'Rede Básica + Ajuste'!K196,IF(G196&lt;$Q$69,(SUMIFS($E$18:$E$60,$B$18:$B$60,$D$196,$D$18:$D$60,"Fora Ponta")),(SUMIFS($F$18:$F$60,$B$18:$B$60,$D$196,$D$18:$D$60,"Fora Ponta"))))</f>
        <v>0</v>
      </c>
      <c r="N196" s="1254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5" t="s">
        <v>1178</v>
      </c>
      <c r="E198" s="1256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7" t="str">
        <f>C184</f>
        <v>Cobertura 2021</v>
      </c>
      <c r="D199" s="1258">
        <f>SUMPRODUCT(H196:H207,J196:J207)</f>
        <v>0</v>
      </c>
      <c r="E199" s="1258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7" t="s">
        <v>1180</v>
      </c>
      <c r="D200" s="1258">
        <f>SUMPRODUCT(H196:H207,L196:L207)</f>
        <v>0</v>
      </c>
      <c r="E200" s="1258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9">
        <f t="shared" si="41"/>
        <v>44774</v>
      </c>
      <c r="H207" s="1260">
        <f>SUMIFS($Y$18:$Y$60,$B$18:$B$60,$D$196,$D$18:$D$60,"Ponta")</f>
        <v>0</v>
      </c>
      <c r="I207" s="1260">
        <f>SUMIFS($Y$18:$Y$60,$B$18:$B$60,$D$196,$D$18:$D$60,"Fora Ponta")</f>
        <v>0</v>
      </c>
      <c r="J207" s="1260">
        <f t="shared" si="42"/>
        <v>0</v>
      </c>
      <c r="K207" s="1260">
        <f t="shared" si="43"/>
        <v>0</v>
      </c>
      <c r="L207" s="1260">
        <f>IF(MONTH(DataRevRea)=7,'Rede Básica + Ajuste'!J207,IF(G207&lt;$Q$69,(SUMIFS($E$18:$E$60,$B$18:$B$60,$D$196,$D$18:$D$60,"Ponta")),(SUMIFS($F$18:$F$60,$B$18:$B$60,$D$196,$D$18:$D$60,"Ponta"))))</f>
        <v>0</v>
      </c>
      <c r="M207" s="1260">
        <f>IF(MONTH(DataRevRea)=7,'Rede Básica + Ajuste'!K207,IF(G207&lt;$Q$69,(SUMIFS($E$18:$E$60,$B$18:$B$60,$D$196,$D$18:$D$60,"Fora Ponta")),(SUMIFS($F$18:$F$60,$B$18:$B$60,$D$196,$D$18:$D$60,"Fora Ponta"))))</f>
        <v>0</v>
      </c>
      <c r="N207" s="1261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11" t="s">
        <v>1170</v>
      </c>
      <c r="K209" s="1812"/>
      <c r="L209" s="1810" t="s">
        <v>1171</v>
      </c>
      <c r="M209" s="1810"/>
      <c r="N209" s="278"/>
    </row>
    <row r="210" spans="3:14" ht="15.75">
      <c r="C210" s="1813" t="s">
        <v>1181</v>
      </c>
      <c r="D210" s="1814"/>
      <c r="F210" s="270"/>
      <c r="G210" s="1248" t="s">
        <v>646</v>
      </c>
      <c r="H210" s="1249" t="s">
        <v>1172</v>
      </c>
      <c r="I210" s="1249" t="s">
        <v>1173</v>
      </c>
      <c r="J210" s="1250" t="s">
        <v>1174</v>
      </c>
      <c r="K210" s="1250" t="s">
        <v>1175</v>
      </c>
      <c r="L210" s="1250" t="s">
        <v>1174</v>
      </c>
      <c r="M210" s="1250" t="s">
        <v>1175</v>
      </c>
      <c r="N210" s="277" t="s">
        <v>1176</v>
      </c>
    </row>
    <row r="211" spans="3:14" ht="15.75">
      <c r="C211" s="1245" t="s">
        <v>1177</v>
      </c>
      <c r="D211" s="1262">
        <f>IF(D22="Ponta",B22,0)</f>
        <v>0</v>
      </c>
      <c r="E211" s="18"/>
      <c r="F211" s="270"/>
      <c r="G211" s="1252">
        <f>G196</f>
        <v>44440</v>
      </c>
      <c r="H211" s="272">
        <f>H196</f>
        <v>0</v>
      </c>
      <c r="I211" s="272">
        <f>I196</f>
        <v>0</v>
      </c>
      <c r="J211" s="1253">
        <f>SUMIFS($G$18:$G$60,$B$18:$B$60,$D$211,$D$18:$D$60,"Ponta")</f>
        <v>0</v>
      </c>
      <c r="K211" s="1253">
        <f>SUMIFS($G$18:$G$60,$B$18:$B$60,$D$211,$D$18:$D$60,"Fora Ponta")</f>
        <v>0</v>
      </c>
      <c r="L211" s="1253">
        <f>IF(MONTH(DataRevRea)=7,'Rede Básica + Ajuste'!J211,IF(G211&lt;$Q$69,(SUMIFS($G$18:$G$60,$B$18:$B$60,$D$211,$D$18:$D$60,"Ponta")),(SUMIFS($H$18:$H$60,$B$18:$B$60,$D$211,$D$18:$D$60,"Ponta"))))</f>
        <v>0</v>
      </c>
      <c r="M211" s="1253">
        <f>IF(MONTH(DataRevRea)=7,'Rede Básica + Ajuste'!K211,IF(G211&lt;$Q$69,(SUMIFS($G$18:$G$60,$B$18:$B$60,$D$211,$D$18:$D$60,"Fora Ponta")),(SUMIFS($H$18:$H$60,$B$18:$B$60,$D$211,$D$18:$D$60,"Fora Ponta"))))</f>
        <v>0</v>
      </c>
      <c r="N211" s="1254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5" t="s">
        <v>1178</v>
      </c>
      <c r="E213" s="1256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7" t="str">
        <f>C199</f>
        <v>Cobertura 2021</v>
      </c>
      <c r="D214" s="1258">
        <f>SUMPRODUCT(H211:H222,J211:J222)</f>
        <v>0</v>
      </c>
      <c r="E214" s="1258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7" t="s">
        <v>1180</v>
      </c>
      <c r="D215" s="1258">
        <f>SUMPRODUCT(H211:H222,L211:L222)</f>
        <v>0</v>
      </c>
      <c r="E215" s="1258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9">
        <f t="shared" si="45"/>
        <v>44774</v>
      </c>
      <c r="H222" s="1260">
        <f t="shared" si="45"/>
        <v>0</v>
      </c>
      <c r="I222" s="1260">
        <f t="shared" si="45"/>
        <v>0</v>
      </c>
      <c r="J222" s="1260">
        <f t="shared" si="46"/>
        <v>0</v>
      </c>
      <c r="K222" s="1260">
        <f t="shared" si="47"/>
        <v>0</v>
      </c>
      <c r="L222" s="1260">
        <f>IF(MONTH(DataRevRea)=7,'Rede Básica + Ajuste'!J222,IF(G222&lt;$Q$69,(SUMIFS($G$18:$G$60,$B$18:$B$60,$D$211,$D$18:$D$60,"Ponta")),(SUMIFS($H$18:$H$60,$B$18:$B$60,$D$211,$D$18:$D$60,"Ponta"))))</f>
        <v>0</v>
      </c>
      <c r="M222" s="1260">
        <f>IF(MONTH(DataRevRea)=7,'Rede Básica + Ajuste'!K222,IF(G222&lt;$Q$69,(SUMIFS($G$18:$G$60,$B$18:$B$60,$D$211,$D$18:$D$60,"Fora Ponta")),(SUMIFS($H$18:$H$60,$B$18:$B$60,$D$211,$D$18:$D$60,"Fora Ponta"))))</f>
        <v>0</v>
      </c>
      <c r="N222" s="1261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3" priority="7" stopIfTrue="1" operator="equal">
      <formula>"d"</formula>
    </cfRule>
  </conditionalFormatting>
  <conditionalFormatting sqref="B16">
    <cfRule type="cellIs" dxfId="112" priority="6" stopIfTrue="1" operator="equal">
      <formula>"d"</formula>
    </cfRule>
  </conditionalFormatting>
  <conditionalFormatting sqref="B18:Y60">
    <cfRule type="cellIs" dxfId="111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Normal="100" workbookViewId="0"/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2" t="s">
        <v>638</v>
      </c>
      <c r="C1" s="1021"/>
      <c r="D1" s="933"/>
      <c r="E1" s="1229"/>
      <c r="F1" s="1229"/>
      <c r="G1" s="1131" t="s">
        <v>873</v>
      </c>
      <c r="H1" s="1132">
        <f ca="1">LnkTXTIRTEco</f>
        <v>0.1164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Cersad</v>
      </c>
      <c r="C2" s="70"/>
      <c r="D2" s="70"/>
      <c r="G2" s="120" t="s">
        <v>877</v>
      </c>
      <c r="H2" s="121">
        <f ca="1">LnkTXTIRTTotal</f>
        <v>-0.14729999999999999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3" t="s">
        <v>1188</v>
      </c>
      <c r="C5" s="1233" t="s">
        <v>1189</v>
      </c>
      <c r="D5" s="1233" t="s">
        <v>1190</v>
      </c>
      <c r="E5" s="1233" t="s">
        <v>1191</v>
      </c>
      <c r="F5" s="1233" t="s">
        <v>1192</v>
      </c>
      <c r="G5" s="1233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3" t="s">
        <v>760</v>
      </c>
      <c r="C11" s="1264">
        <f>SUM(C6:C10)</f>
        <v>0</v>
      </c>
      <c r="D11" s="1264">
        <f>SUM(D6:D10)</f>
        <v>0</v>
      </c>
      <c r="E11" s="1265">
        <f>SUM(E6:E10)</f>
        <v>0</v>
      </c>
      <c r="F11" s="1266"/>
      <c r="G11" s="1267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8" t="s">
        <v>1209</v>
      </c>
      <c r="E12" s="1268"/>
      <c r="F12" s="1269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3" t="s">
        <v>1188</v>
      </c>
      <c r="C15" s="1233" t="s">
        <v>1189</v>
      </c>
      <c r="D15" s="1233" t="s">
        <v>1215</v>
      </c>
      <c r="E15" s="1233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3" t="s">
        <v>760</v>
      </c>
      <c r="C21" s="1270">
        <f>SUM(C16:C20)</f>
        <v>0</v>
      </c>
      <c r="D21" s="1270">
        <f>SUM(D16:D20)</f>
        <v>0</v>
      </c>
      <c r="E21" s="1270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Normal="100" zoomScaleSheetLayoutView="124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2" t="s">
        <v>952</v>
      </c>
      <c r="C1" s="1021"/>
      <c r="D1" s="1271"/>
      <c r="E1" s="1272"/>
      <c r="F1" s="1272"/>
      <c r="G1" s="1131" t="s">
        <v>873</v>
      </c>
      <c r="H1" s="1231">
        <f ca="1">LnkTXTIRTEco</f>
        <v>0.1164</v>
      </c>
    </row>
    <row r="2" spans="1:16" ht="46.5" customHeight="1">
      <c r="B2" s="136" t="str">
        <f>CAPA!C9</f>
        <v>Cersad</v>
      </c>
      <c r="C2" s="70"/>
      <c r="D2" s="70"/>
      <c r="G2" s="120" t="s">
        <v>877</v>
      </c>
      <c r="H2" s="146">
        <f ca="1">LnkTXTIRTTotal</f>
        <v>-0.14729999999999999</v>
      </c>
      <c r="I2" s="90" t="s">
        <v>1231</v>
      </c>
    </row>
    <row r="3" spans="1:16">
      <c r="B3" s="1273" t="s">
        <v>1232</v>
      </c>
      <c r="C3" s="1274">
        <f>SUMPRODUCT(J6:J44,H6:H44)</f>
        <v>733473.02962819999</v>
      </c>
      <c r="D3" s="73"/>
      <c r="E3" s="1273" t="s">
        <v>1123</v>
      </c>
      <c r="F3" s="68" t="s">
        <v>1233</v>
      </c>
      <c r="G3" s="1275">
        <f>LnkTXTDescTusdAnte</f>
        <v>0</v>
      </c>
      <c r="H3" s="90"/>
      <c r="I3" s="1276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7" t="s">
        <v>27</v>
      </c>
      <c r="C5" s="1277" t="s">
        <v>21</v>
      </c>
      <c r="D5" s="1277" t="s">
        <v>22</v>
      </c>
      <c r="E5" s="1277" t="s">
        <v>78</v>
      </c>
      <c r="F5" s="1277" t="s">
        <v>817</v>
      </c>
      <c r="G5" s="1277" t="s">
        <v>1235</v>
      </c>
      <c r="H5" s="1277" t="s">
        <v>60</v>
      </c>
      <c r="I5" s="1277" t="s">
        <v>1124</v>
      </c>
      <c r="J5" s="1277" t="s">
        <v>1125</v>
      </c>
      <c r="L5" s="68"/>
      <c r="M5" s="69"/>
    </row>
    <row r="6" spans="1:16">
      <c r="A6" s="68">
        <v>5697</v>
      </c>
      <c r="B6" s="147" t="s">
        <v>2201</v>
      </c>
      <c r="C6" s="147" t="s">
        <v>2361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29818.329999999994</v>
      </c>
      <c r="H6" s="147">
        <f>IF(B6="","",IF(LEFT(D6,7)="Demanda",G6,G6/1000))</f>
        <v>29818.329999999994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2201</v>
      </c>
      <c r="C7" s="147" t="s">
        <v>2361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11595.980000000003</v>
      </c>
      <c r="H7" s="147">
        <f t="shared" ref="H7:H30" si="3">IF(B7="","",IF(LEFT(D7,7)="Demanda",G7,G7/1000))</f>
        <v>11595.980000000003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2201</v>
      </c>
      <c r="C8" s="147" t="s">
        <v>2361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3068921.8600000003</v>
      </c>
      <c r="H8" s="147">
        <f t="shared" si="3"/>
        <v>3068.9218600000004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2201</v>
      </c>
      <c r="C9" s="147" t="s">
        <v>2361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210654.61</v>
      </c>
      <c r="H9" s="147">
        <f t="shared" si="3"/>
        <v>210.65460999999999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19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Normal="100" workbookViewId="0">
      <selection activeCell="H24" sqref="H24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2" t="s">
        <v>743</v>
      </c>
      <c r="C1" s="1228"/>
      <c r="D1" s="1228"/>
      <c r="E1" s="1228"/>
      <c r="F1" s="933"/>
      <c r="G1" s="933"/>
      <c r="H1" s="1131" t="s">
        <v>873</v>
      </c>
      <c r="I1" s="1132">
        <f ca="1">LnkTXTIRTEco</f>
        <v>0.1164</v>
      </c>
      <c r="J1" s="193"/>
      <c r="K1" s="194"/>
    </row>
    <row r="2" spans="1:15" s="195" customFormat="1" ht="27" customHeight="1">
      <c r="B2" s="136" t="str">
        <f>CAPA!C9</f>
        <v>Cersad</v>
      </c>
      <c r="C2" s="70"/>
      <c r="D2" s="70"/>
      <c r="E2" s="70"/>
      <c r="F2" s="70"/>
      <c r="G2" s="70"/>
      <c r="H2" s="120" t="s">
        <v>877</v>
      </c>
      <c r="I2" s="121">
        <f ca="1">LnkTXTIRTTotal</f>
        <v>-0.14729999999999999</v>
      </c>
    </row>
    <row r="3" spans="1:15">
      <c r="B3" s="936" t="s">
        <v>1240</v>
      </c>
      <c r="C3" s="785"/>
      <c r="E3" s="785" t="str">
        <f>"Encargos "&amp;YEAR(CAPA!C14)</f>
        <v>Encargos 2021</v>
      </c>
      <c r="F3" s="785"/>
      <c r="H3" s="785"/>
      <c r="I3" s="785"/>
      <c r="J3" s="785"/>
      <c r="K3" s="785"/>
      <c r="L3" s="785"/>
      <c r="M3" s="785"/>
      <c r="N3" s="785"/>
      <c r="O3" s="785"/>
    </row>
    <row r="4" spans="1:15">
      <c r="E4" s="1233" t="s">
        <v>72</v>
      </c>
      <c r="F4" s="1233" t="s">
        <v>1241</v>
      </c>
      <c r="H4" s="72"/>
      <c r="I4" s="72"/>
    </row>
    <row r="5" spans="1:15">
      <c r="B5" s="1233" t="s">
        <v>72</v>
      </c>
      <c r="C5" s="1233" t="s">
        <v>37</v>
      </c>
      <c r="E5" s="68" t="s">
        <v>40</v>
      </c>
      <c r="F5" s="115">
        <f>CAPA!D42</f>
        <v>8037.3679947307901</v>
      </c>
      <c r="H5" s="1833" t="s">
        <v>1242</v>
      </c>
      <c r="I5" s="1833"/>
      <c r="K5" s="1833" t="s">
        <v>1243</v>
      </c>
      <c r="L5" s="1833"/>
      <c r="N5" s="1833" t="s">
        <v>1244</v>
      </c>
      <c r="O5" s="1833"/>
    </row>
    <row r="6" spans="1:15">
      <c r="B6" s="68" t="s">
        <v>40</v>
      </c>
      <c r="C6" s="80">
        <f ca="1">L14</f>
        <v>9837.212867354101</v>
      </c>
      <c r="E6" s="68" t="s">
        <v>41</v>
      </c>
      <c r="F6" s="115">
        <f>CAPA!D43</f>
        <v>548452.22745999997</v>
      </c>
      <c r="H6" s="199" t="s">
        <v>1245</v>
      </c>
      <c r="I6" s="200">
        <f ca="1">FornecimentoE+LivreE-Calc_Mercado!C16</f>
        <v>9439.9490000000005</v>
      </c>
      <c r="K6" s="504" t="s">
        <v>745</v>
      </c>
      <c r="L6" s="411">
        <f ca="1">LnkTXTER</f>
        <v>10822.847637142859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631719.95399000007</v>
      </c>
      <c r="D7" s="196"/>
      <c r="E7" s="68" t="s">
        <v>112</v>
      </c>
      <c r="F7" s="115">
        <f>CAPA!D44</f>
        <v>0</v>
      </c>
      <c r="H7" s="1278" t="s">
        <v>1247</v>
      </c>
      <c r="I7" s="1279">
        <v>14.13</v>
      </c>
      <c r="K7" s="504" t="s">
        <v>1088</v>
      </c>
      <c r="L7" s="411">
        <f ca="1">Energia!M7</f>
        <v>0</v>
      </c>
      <c r="N7" s="201" t="s">
        <v>1248</v>
      </c>
      <c r="O7" s="202">
        <f ca="1">SUM(C12+C6+C9+C10+C8)</f>
        <v>400578.00223735411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48696.035253333299</v>
      </c>
      <c r="K8" s="504" t="s">
        <v>1091</v>
      </c>
      <c r="L8" s="411">
        <f ca="1">LnkTXTPerdas</f>
        <v>1362.8416371428568</v>
      </c>
      <c r="N8" s="201" t="s">
        <v>717</v>
      </c>
      <c r="O8" s="264">
        <f>Resultado!D24</f>
        <v>733473.02962819999</v>
      </c>
    </row>
    <row r="9" spans="1:15">
      <c r="B9" s="68" t="s">
        <v>1249</v>
      </c>
      <c r="C9" s="809">
        <f>IFERROR(VLOOKUP("ESS/EER",TabEncargosBancoConsolidados[],2,FALSE),0)</f>
        <v>257354.31</v>
      </c>
      <c r="D9" s="69"/>
      <c r="E9" s="68" t="s">
        <v>47</v>
      </c>
      <c r="F9" s="115">
        <f>CAPA!D46</f>
        <v>91196.65668</v>
      </c>
      <c r="H9" s="1833" t="s">
        <v>1250</v>
      </c>
      <c r="I9" s="1833"/>
      <c r="K9" s="504" t="s">
        <v>1251</v>
      </c>
      <c r="L9" s="411">
        <f ca="1">SUM(L6:L7,-L8)</f>
        <v>9460.0060000000012</v>
      </c>
      <c r="N9" s="201" t="s">
        <v>108</v>
      </c>
      <c r="O9" s="263">
        <f ca="1">Resultado!D33</f>
        <v>1744524.9715553098</v>
      </c>
    </row>
    <row r="10" spans="1:15">
      <c r="B10" s="68" t="s">
        <v>47</v>
      </c>
      <c r="C10" s="80">
        <f ca="1">IFERROR(Encargos!I7*I6,0)</f>
        <v>133386.47937000002</v>
      </c>
      <c r="D10" s="196"/>
      <c r="E10" s="68" t="s">
        <v>49</v>
      </c>
      <c r="F10" s="115">
        <f>CAPA!D48</f>
        <v>0</v>
      </c>
      <c r="H10" s="1280" t="s">
        <v>1252</v>
      </c>
      <c r="I10" s="1281">
        <f ca="1">FornecimentoE_A1+Calc_Mercado!C10+Calc_Mercado!C11+Calc_Mercado!C114+Calc_Mercado!C115</f>
        <v>0</v>
      </c>
      <c r="K10" s="504" t="s">
        <v>1253</v>
      </c>
      <c r="L10" s="411">
        <f ca="1">SUM(L6:L7)</f>
        <v>10822.847637142859</v>
      </c>
      <c r="N10" s="201" t="s">
        <v>1254</v>
      </c>
      <c r="O10" s="202">
        <f>Resultado!D39</f>
        <v>2400000</v>
      </c>
    </row>
    <row r="11" spans="1:15">
      <c r="B11" s="68" t="s">
        <v>1255</v>
      </c>
      <c r="C11" s="80">
        <v>1E-4</v>
      </c>
      <c r="D11" s="196"/>
      <c r="E11" s="785" t="s">
        <v>2037</v>
      </c>
      <c r="F11" s="1153">
        <f>CAPA!D47</f>
        <v>0</v>
      </c>
      <c r="H11" s="199" t="s">
        <v>1256</v>
      </c>
      <c r="I11" s="139">
        <f ca="1">Calc_Mercado!C12+Calc_Mercado!C13+Calc_Mercado!C14+Calc_Mercado!C116+Calc_Mercado!C117</f>
        <v>4851.8040000000001</v>
      </c>
      <c r="K11" s="504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5.278576003420864E-8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5" t="str">
        <f>"Encargos "&amp;YEAR(CAPA!C14)-1</f>
        <v>Encargos 2020</v>
      </c>
      <c r="F12" s="785"/>
      <c r="H12" s="199" t="s">
        <v>1259</v>
      </c>
      <c r="I12" s="139">
        <f ca="1">FornecimentoE_BT-Calc_Mercado!C16+Calc_Mercado!C119+Calc_Mercado!C118</f>
        <v>4588.1450000000013</v>
      </c>
      <c r="K12" s="504" t="s">
        <v>1260</v>
      </c>
      <c r="L12" s="45">
        <v>4.0000000000000001E-3</v>
      </c>
      <c r="N12" s="201" t="s">
        <v>1261</v>
      </c>
      <c r="O12" s="203">
        <f ca="1">Financeiros!D7</f>
        <v>-1396263.0204779583</v>
      </c>
    </row>
    <row r="13" spans="1:15">
      <c r="B13" s="1282" t="s">
        <v>769</v>
      </c>
      <c r="C13" s="1283">
        <f ca="1">SUM(C6:C12)</f>
        <v>1032297.9563273542</v>
      </c>
      <c r="D13" s="196"/>
      <c r="E13" s="1233" t="s">
        <v>72</v>
      </c>
      <c r="F13" s="1233" t="s">
        <v>1241</v>
      </c>
      <c r="H13" s="1284" t="s">
        <v>1262</v>
      </c>
      <c r="I13" s="1285">
        <v>23.38</v>
      </c>
      <c r="K13" s="1286" t="s">
        <v>1263</v>
      </c>
      <c r="L13" s="1287">
        <f ca="1">LnkTXTIParcelaBcomSub+Energia!F19</f>
        <v>2400000</v>
      </c>
      <c r="N13" s="1288" t="s">
        <v>1264</v>
      </c>
      <c r="O13" s="1289">
        <f ca="1">O12*O6+O11</f>
        <v>3.8823129829429056E-8</v>
      </c>
    </row>
    <row r="14" spans="1:15">
      <c r="E14" s="68" t="s">
        <v>40</v>
      </c>
      <c r="F14" s="1290">
        <f>BD!C37</f>
        <v>10097.795628305321</v>
      </c>
      <c r="H14" s="257" t="s">
        <v>1265</v>
      </c>
      <c r="I14" s="816">
        <v>31.67</v>
      </c>
      <c r="K14" s="1291" t="s">
        <v>40</v>
      </c>
      <c r="L14" s="1292">
        <f ca="1">L12*1/L11*L9/L10*L13</f>
        <v>9837.212867354101</v>
      </c>
    </row>
    <row r="15" spans="1:15">
      <c r="E15" s="68" t="s">
        <v>41</v>
      </c>
      <c r="F15" s="80">
        <f>BD!C35</f>
        <v>460058.27399999998</v>
      </c>
      <c r="H15" s="1293" t="s">
        <v>1266</v>
      </c>
      <c r="I15" s="1294">
        <v>37.700000000000003</v>
      </c>
    </row>
    <row r="16" spans="1:15">
      <c r="E16" s="68" t="s">
        <v>112</v>
      </c>
      <c r="F16" s="80">
        <v>0</v>
      </c>
      <c r="H16" s="1187" t="s">
        <v>1267</v>
      </c>
      <c r="I16" s="1285">
        <v>55.4</v>
      </c>
      <c r="K16" s="1833" t="s">
        <v>768</v>
      </c>
      <c r="L16" s="1833"/>
    </row>
    <row r="17" spans="2:14">
      <c r="E17" s="68" t="s">
        <v>768</v>
      </c>
      <c r="F17" s="80">
        <v>0</v>
      </c>
      <c r="H17" s="68" t="s">
        <v>1268</v>
      </c>
      <c r="I17" s="816">
        <v>75.06</v>
      </c>
      <c r="K17" s="1280" t="s">
        <v>2054</v>
      </c>
      <c r="L17" s="1281">
        <f>IFERROR(VLOOKUP("EER",TabEncargosBancoConsolidados[],2,FALSE),0)</f>
        <v>253432.77</v>
      </c>
    </row>
    <row r="18" spans="2:14">
      <c r="C18" s="107"/>
      <c r="D18" s="107"/>
      <c r="E18" s="68" t="s">
        <v>47</v>
      </c>
      <c r="F18" s="80">
        <f>BD!C36</f>
        <v>63130.741050000004</v>
      </c>
      <c r="G18" s="107"/>
      <c r="H18" s="785" t="s">
        <v>1269</v>
      </c>
      <c r="I18" s="1294">
        <v>89.35</v>
      </c>
      <c r="K18" s="199" t="s">
        <v>2057</v>
      </c>
      <c r="L18" s="139">
        <f>C9-L17</f>
        <v>3921.5400000000081</v>
      </c>
    </row>
    <row r="19" spans="2:14">
      <c r="C19" s="107"/>
      <c r="D19" s="107"/>
      <c r="E19" s="785" t="s">
        <v>49</v>
      </c>
      <c r="F19" s="1295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774127.16399000003</v>
      </c>
      <c r="K19" s="1233" t="s">
        <v>769</v>
      </c>
      <c r="L19" s="1462">
        <f>SUM(L17:L18)</f>
        <v>257354.31</v>
      </c>
    </row>
    <row r="20" spans="2:14">
      <c r="C20" s="107"/>
      <c r="D20" s="107"/>
      <c r="F20" s="80"/>
      <c r="G20" s="107"/>
      <c r="H20" s="1296" t="s">
        <v>1271</v>
      </c>
      <c r="I20" s="1297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-142407.21</v>
      </c>
    </row>
    <row r="22" spans="2:14">
      <c r="C22" s="107"/>
      <c r="D22" s="107"/>
      <c r="F22" s="80"/>
      <c r="G22" s="107"/>
      <c r="H22" s="1233" t="s">
        <v>2058</v>
      </c>
      <c r="I22" s="1462">
        <f ca="1">I19+I20+I21</f>
        <v>631719.95399000007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6" t="s">
        <v>1272</v>
      </c>
      <c r="C27" s="785"/>
      <c r="D27" s="785"/>
      <c r="E27" s="785"/>
      <c r="F27" s="785"/>
      <c r="G27" s="785"/>
      <c r="J27" s="785"/>
      <c r="K27" s="785"/>
      <c r="L27" s="785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3" t="s">
        <v>2081</v>
      </c>
      <c r="D30" s="1233" t="s">
        <v>46</v>
      </c>
      <c r="E30" s="1233" t="s">
        <v>40</v>
      </c>
      <c r="F30" s="1233" t="s">
        <v>41</v>
      </c>
      <c r="G30" s="1233" t="s">
        <v>47</v>
      </c>
      <c r="H30" s="1468" t="s">
        <v>2082</v>
      </c>
      <c r="I30" s="1468" t="s">
        <v>2090</v>
      </c>
      <c r="J30" s="1233" t="s">
        <v>1274</v>
      </c>
      <c r="L30" s="1832" t="s">
        <v>1275</v>
      </c>
      <c r="M30" s="1832"/>
      <c r="N30" s="268"/>
    </row>
    <row r="31" spans="2:14">
      <c r="B31" s="267">
        <f>Indexador!B68</f>
        <v>44440</v>
      </c>
      <c r="C31" s="1144">
        <f ca="1">IFERROR(IF(CAPA!$C$113="Não",C47-C62,IF(Indexador!$B68&lt;CAPA!$C$114,0,C47-C62)),0)</f>
        <v>0</v>
      </c>
      <c r="D31" s="1144">
        <f ca="1">IF(CAPA!$C$113="Não",D47-D62,IF(Indexador!$B68&lt;CAPA!$C$114,0,D47-D62))</f>
        <v>-0.79952876130801087</v>
      </c>
      <c r="E31" s="1144">
        <f ca="1">IF(CAPA!$C$113="Não",E47-E62,IF(Indexador!$B68&lt;CAPA!$C$114,0,E47-E62))</f>
        <v>-8.7120506139267491</v>
      </c>
      <c r="F31" s="1144">
        <f ca="1">IF(CAPA!$C$113="Não",F47-F62,IF(Indexador!$B68&lt;CAPA!$C$114,0,F47-F62))</f>
        <v>-146.93473465360876</v>
      </c>
      <c r="G31" s="1144">
        <f ca="1">IF(CAPA!$C$113="Não",G47-G62,IF(Indexador!$B68&lt;CAPA!$C$114,0,G47-G62))</f>
        <v>-0.18457635765935265</v>
      </c>
      <c r="H31" s="1144">
        <f ca="1">IF(CAPA!$C$113="Não",H47-H62,IF(Indexador!$B68&lt;CAPA!$C$114,0,H47-H62))</f>
        <v>0</v>
      </c>
      <c r="I31" s="1144">
        <f ca="1">IF(CAPA!$C$113="Não",I47-I62,IF(Indexador!$B68&lt;CAPA!$C$114,0,I47-I62))</f>
        <v>0</v>
      </c>
      <c r="J31" s="1144">
        <f ca="1">IF(CAPA!$C$113="Não",J47-J62,IF(Indexador!$B68&lt;CAPA!$C$114,0,J47-J62))</f>
        <v>-156.63089038650651</v>
      </c>
      <c r="L31" s="68" t="s">
        <v>40</v>
      </c>
      <c r="M31" s="115">
        <f ca="1">Indexador!H80</f>
        <v>173.53224665300522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53.850349887377888</v>
      </c>
      <c r="E32" s="115">
        <f ca="1">IF(CAPA!$C$113="Não",E48-E63,IF(Indexador!$B69&lt;CAPA!$C$114,0,E48-E63))</f>
        <v>6.1362547053788603</v>
      </c>
      <c r="F32" s="115">
        <f ca="1">IF(CAPA!$C$113="Não",F48-F63,IF(Indexador!$B69&lt;CAPA!$C$114,0,F48-F63))</f>
        <v>557.80273695724463</v>
      </c>
      <c r="G32" s="115">
        <f ca="1">IF(CAPA!$C$113="Não",G48-G63,IF(Indexador!$B69&lt;CAPA!$C$114,0,G48-G63))</f>
        <v>100.58068690710479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718.37002845710958</v>
      </c>
      <c r="L32" s="68" t="s">
        <v>41</v>
      </c>
      <c r="M32" s="115">
        <f ca="1">Indexador!J80+Indexador!L80</f>
        <v>18158.155841082949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110.18070344204352</v>
      </c>
      <c r="E33" s="115">
        <f ca="1">IF(CAPA!$C$113="Não",E49-E64,IF(Indexador!$B70&lt;CAPA!$C$114,0,E49-E64))</f>
        <v>21.047952301630744</v>
      </c>
      <c r="F33" s="115">
        <f ca="1">IF(CAPA!$C$113="Não",F49-F64,IF(Indexador!$B70&lt;CAPA!$C$114,0,F49-F64))</f>
        <v>1287.1578932144184</v>
      </c>
      <c r="G33" s="115">
        <f ca="1">IF(CAPA!$C$113="Não",G49-G64,IF(Indexador!$B70&lt;CAPA!$C$114,0,G49-G64))</f>
        <v>205.93691897608915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1624.323467934184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342.61522299283206</v>
      </c>
      <c r="E34" s="115">
        <f ca="1">IF(CAPA!$C$113="Não",E50-E65,IF(Indexador!$B71&lt;CAPA!$C$114,0,E50-E65))</f>
        <v>32.514250054623972</v>
      </c>
      <c r="F34" s="115">
        <f ca="1">IF(CAPA!$C$113="Não",F50-F65,IF(Indexador!$B71&lt;CAPA!$C$114,0,F50-F65))</f>
        <v>3462.4230683865244</v>
      </c>
      <c r="G34" s="115">
        <f ca="1">IF(CAPA!$C$113="Não",G50-G65,IF(Indexador!$B71&lt;CAPA!$C$114,0,G50-G65))</f>
        <v>643.77324148319985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4481.3257829171853</v>
      </c>
      <c r="L34" s="68" t="s">
        <v>46</v>
      </c>
      <c r="M34" s="115">
        <f ca="1">Indexador!F80</f>
        <v>1698.6354115497932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453.65956667150112</v>
      </c>
      <c r="E35" s="115">
        <f ca="1">IF(CAPA!$C$113="Não",E51-E66,IF(Indexador!$B72&lt;CAPA!$C$114,0,E51-E66))</f>
        <v>63.680560357655963</v>
      </c>
      <c r="F35" s="115">
        <f ca="1">IF(CAPA!$C$113="Não",F51-F66,IF(Indexador!$B72&lt;CAPA!$C$114,0,F51-F66))</f>
        <v>4936.7275079337924</v>
      </c>
      <c r="G35" s="115">
        <f ca="1">IF(CAPA!$C$113="Não",G51-G66,IF(Indexador!$B72&lt;CAPA!$C$114,0,G51-G66))</f>
        <v>852.43663713496881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6306.5042720979181</v>
      </c>
      <c r="L35" s="68" t="s">
        <v>47</v>
      </c>
      <c r="M35" s="115">
        <f ca="1">Indexador!N80</f>
        <v>3312.513298166989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-196.53940543321323</v>
      </c>
      <c r="E36" s="115">
        <f ca="1">IF(CAPA!$C$113="Não",E52-E67,IF(Indexador!$B73&lt;CAPA!$C$114,0,E52-E67))</f>
        <v>-56.206337847849341</v>
      </c>
      <c r="F36" s="115">
        <f ca="1">IF(CAPA!$C$113="Não",F52-F67,IF(Indexador!$B73&lt;CAPA!$C$114,0,F52-F67))</f>
        <v>-2586.7604485679913</v>
      </c>
      <c r="G36" s="115">
        <f ca="1">IF(CAPA!$C$113="Não",G52-G67,IF(Indexador!$B73&lt;CAPA!$C$114,0,G52-G67))</f>
        <v>-363.0638157334115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-3202.5700075824643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-288.05489089496541</v>
      </c>
      <c r="E37" s="115">
        <f ca="1">IF(CAPA!$C$113="Não",E53-E68,IF(Indexador!$B74&lt;CAPA!$C$114,0,E53-E68))</f>
        <v>-45.570453074290072</v>
      </c>
      <c r="F37" s="115">
        <f ca="1">IF(CAPA!$C$113="Não",F53-F68,IF(Indexador!$B74&lt;CAPA!$C$114,0,F53-F68))</f>
        <v>-3150.8202972398576</v>
      </c>
      <c r="G37" s="115">
        <f ca="1">IF(CAPA!$C$113="Não",G53-G68,IF(Indexador!$B74&lt;CAPA!$C$114,0,G53-G68))</f>
        <v>-530.22049989013794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-4014.6661410992456</v>
      </c>
      <c r="L37" s="785" t="s">
        <v>48</v>
      </c>
      <c r="M37" s="1184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550.92245733233631</v>
      </c>
      <c r="E38" s="115">
        <f ca="1">IF(CAPA!$C$113="Não",E54-E69,IF(Indexador!$B75&lt;CAPA!$C$114,0,E54-E69))</f>
        <v>88.397439440861945</v>
      </c>
      <c r="F38" s="115">
        <f ca="1">IF(CAPA!$C$113="Não",F54-F69,IF(Indexador!$B75&lt;CAPA!$C$114,0,F54-F69))</f>
        <v>6238.1167061506712</v>
      </c>
      <c r="G38" s="115">
        <f ca="1">IF(CAPA!$C$113="Não",G54-G69,IF(Indexador!$B75&lt;CAPA!$C$114,0,G54-G69))</f>
        <v>1043.5658677570764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7921.002470680949</v>
      </c>
      <c r="L38" s="71" t="s">
        <v>760</v>
      </c>
      <c r="M38" s="269">
        <f ca="1">SUM(M31:M36)</f>
        <v>23342.836797452735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170.49300815782226</v>
      </c>
      <c r="E39" s="115">
        <f ca="1">IF(CAPA!$C$113="Não",E55-E70,IF(Indexador!$B76&lt;CAPA!$C$114,0,E55-E70))</f>
        <v>36.052378213165866</v>
      </c>
      <c r="F39" s="115">
        <f ca="1">IF(CAPA!$C$113="Não",F55-F70,IF(Indexador!$B76&lt;CAPA!$C$114,0,F55-F70))</f>
        <v>2149.5006184461454</v>
      </c>
      <c r="G39" s="115">
        <f ca="1">IF(CAPA!$C$113="Não",G55-G70,IF(Indexador!$B76&lt;CAPA!$C$114,0,G55-G70))</f>
        <v>333.86070274709346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2689.9067075642306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167.31131905920574</v>
      </c>
      <c r="E40" s="115">
        <f ca="1">IF(CAPA!$C$113="Não",E56-E71,IF(Indexador!$B77&lt;CAPA!$C$114,0,E56-E71))</f>
        <v>6.1747095841008104</v>
      </c>
      <c r="F40" s="115">
        <f ca="1">IF(CAPA!$C$113="Não",F56-F71,IF(Indexador!$B77&lt;CAPA!$C$114,0,F56-F71))</f>
        <v>1710.2200049026142</v>
      </c>
      <c r="G40" s="115">
        <f ca="1">IF(CAPA!$C$113="Não",G56-G71,IF(Indexador!$B77&lt;CAPA!$C$114,0,G56-G71))</f>
        <v>342.96584151367006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2226.6718750595974</v>
      </c>
      <c r="L40" s="1832" t="s">
        <v>2089</v>
      </c>
      <c r="M40" s="1832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303.53161055131886</v>
      </c>
      <c r="E41" s="115">
        <f ca="1">IF(CAPA!$C$113="Não",E57-E72,IF(Indexador!$B78&lt;CAPA!$C$114,0,E57-E72))</f>
        <v>41.251368289014181</v>
      </c>
      <c r="F41" s="115">
        <f ca="1">IF(CAPA!$C$113="Não",F57-F72,IF(Indexador!$B78&lt;CAPA!$C$114,0,F57-F72))</f>
        <v>3443.8521856086954</v>
      </c>
      <c r="G41" s="115">
        <f ca="1">IF(CAPA!$C$113="Não",G57-G72,IF(Indexador!$B78&lt;CAPA!$C$114,0,G57-G72))</f>
        <v>595.68067592972693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4384.3158403787602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3">
        <f ca="1">IFERROR(IF(CAPA!$C$113="Não",C58-C73,IF(Indexador!$B79&lt;CAPA!$C$114,0,C58-C73)),0)</f>
        <v>0</v>
      </c>
      <c r="D42" s="1153">
        <f ca="1">IF(CAPA!$C$113="Não",D58-D73,IF(Indexador!$B79&lt;CAPA!$C$114,0,D58-D73))</f>
        <v>-4.0448265001427899</v>
      </c>
      <c r="E42" s="1153">
        <f ca="1">IF(CAPA!$C$113="Não",E58-E73,IF(Indexador!$B79&lt;CAPA!$C$114,0,E58-E73))</f>
        <v>-13.927880350617897</v>
      </c>
      <c r="F42" s="1153">
        <f ca="1">IF(CAPA!$C$113="Não",F58-F73,IF(Indexador!$B79&lt;CAPA!$C$114,0,F58-F73))</f>
        <v>-91.678782357164891</v>
      </c>
      <c r="G42" s="1153">
        <f ca="1">IF(CAPA!$C$113="Não",G58-G73,IF(Indexador!$B79&lt;CAPA!$C$114,0,G58-G73))</f>
        <v>20.269358138310054</v>
      </c>
      <c r="H42" s="1153">
        <f ca="1">IF(CAPA!$C$113="Não",H58-H73,IF(Indexador!$B79&lt;CAPA!$C$114,0,H58-H73))</f>
        <v>0</v>
      </c>
      <c r="I42" s="1153">
        <f ca="1">IF(CAPA!$C$113="Não",I58-I73,IF(Indexador!$B79&lt;CAPA!$C$114,0,I58-I73))</f>
        <v>0</v>
      </c>
      <c r="J42" s="1153">
        <f ca="1">IF(CAPA!$C$113="Não",J58-J73,IF(Indexador!$B79&lt;CAPA!$C$114,0,J58-J73))</f>
        <v>-89.382131069614843</v>
      </c>
      <c r="L42" s="785" t="str">
        <f>I30</f>
        <v>Crédito Pis Cofins</v>
      </c>
      <c r="M42" s="1184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3" t="s">
        <v>2081</v>
      </c>
      <c r="D46" s="1233" t="s">
        <v>46</v>
      </c>
      <c r="E46" s="1233" t="s">
        <v>40</v>
      </c>
      <c r="F46" s="1233" t="s">
        <v>41</v>
      </c>
      <c r="G46" s="1233" t="s">
        <v>47</v>
      </c>
      <c r="H46" s="1468" t="s">
        <v>2082</v>
      </c>
      <c r="I46" s="1468" t="s">
        <v>2086</v>
      </c>
      <c r="J46" s="1233" t="s">
        <v>1276</v>
      </c>
      <c r="K46" s="140"/>
    </row>
    <row r="47" spans="2:14">
      <c r="B47" s="267">
        <f>Indexador!B37</f>
        <v>44440</v>
      </c>
      <c r="C47" s="1455">
        <f>$F$11/12</f>
        <v>0</v>
      </c>
      <c r="D47" s="1298">
        <f>$F$8/12</f>
        <v>4058.0029377777751</v>
      </c>
      <c r="E47" s="1144">
        <f t="shared" ref="E47:E58" si="0">$F$5/12</f>
        <v>669.7806662275658</v>
      </c>
      <c r="F47" s="115">
        <f t="shared" ref="F47:F58" si="1">$F$6/12</f>
        <v>45704.352288333328</v>
      </c>
      <c r="G47" s="115">
        <f t="shared" ref="G47:G58" si="2">$F$9/12</f>
        <v>7599.7213899999997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9">
        <f>SUM(C47:G47)</f>
        <v>58031.857282338671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4058.0029377777751</v>
      </c>
      <c r="E48" s="115">
        <f t="shared" si="0"/>
        <v>669.7806662275658</v>
      </c>
      <c r="F48" s="115">
        <f t="shared" si="1"/>
        <v>45704.352288333328</v>
      </c>
      <c r="G48" s="115">
        <f t="shared" si="2"/>
        <v>7599.7213899999997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58031.857282338671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4058.0029377777751</v>
      </c>
      <c r="E49" s="115">
        <f t="shared" si="0"/>
        <v>669.7806662275658</v>
      </c>
      <c r="F49" s="115">
        <f t="shared" si="1"/>
        <v>45704.352288333328</v>
      </c>
      <c r="G49" s="115">
        <f t="shared" si="2"/>
        <v>7599.7213899999997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58031.857282338671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4058.0029377777751</v>
      </c>
      <c r="E50" s="115">
        <f t="shared" si="0"/>
        <v>669.7806662275658</v>
      </c>
      <c r="F50" s="115">
        <f t="shared" si="1"/>
        <v>45704.352288333328</v>
      </c>
      <c r="G50" s="115">
        <f t="shared" si="2"/>
        <v>7599.7213899999997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58031.857282338671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4058.0029377777751</v>
      </c>
      <c r="E51" s="115">
        <f t="shared" si="0"/>
        <v>669.7806662275658</v>
      </c>
      <c r="F51" s="115">
        <f t="shared" si="1"/>
        <v>45704.352288333328</v>
      </c>
      <c r="G51" s="115">
        <f t="shared" si="2"/>
        <v>7599.7213899999997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58031.857282338671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4058.0029377777751</v>
      </c>
      <c r="E52" s="115">
        <f t="shared" si="0"/>
        <v>669.7806662275658</v>
      </c>
      <c r="F52" s="115">
        <f t="shared" si="1"/>
        <v>45704.352288333328</v>
      </c>
      <c r="G52" s="115">
        <f t="shared" si="2"/>
        <v>7599.7213899999997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58031.857282338671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4058.0029377777751</v>
      </c>
      <c r="E53" s="115">
        <f t="shared" si="0"/>
        <v>669.7806662275658</v>
      </c>
      <c r="F53" s="115">
        <f t="shared" si="1"/>
        <v>45704.352288333328</v>
      </c>
      <c r="G53" s="115">
        <f t="shared" si="2"/>
        <v>7599.7213899999997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58031.857282338671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4058.0029377777751</v>
      </c>
      <c r="E54" s="115">
        <f t="shared" si="0"/>
        <v>669.7806662275658</v>
      </c>
      <c r="F54" s="115">
        <f t="shared" si="1"/>
        <v>45704.352288333328</v>
      </c>
      <c r="G54" s="115">
        <f t="shared" si="2"/>
        <v>7599.7213899999997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58031.857282338671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4058.0029377777751</v>
      </c>
      <c r="E55" s="115">
        <f t="shared" si="0"/>
        <v>669.7806662275658</v>
      </c>
      <c r="F55" s="115">
        <f t="shared" si="1"/>
        <v>45704.352288333328</v>
      </c>
      <c r="G55" s="115">
        <f t="shared" si="2"/>
        <v>7599.7213899999997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58031.857282338671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4058.0029377777751</v>
      </c>
      <c r="E56" s="115">
        <f t="shared" si="0"/>
        <v>669.7806662275658</v>
      </c>
      <c r="F56" s="115">
        <f t="shared" si="1"/>
        <v>45704.352288333328</v>
      </c>
      <c r="G56" s="115">
        <f t="shared" si="2"/>
        <v>7599.7213899999997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58031.857282338671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4058.0029377777751</v>
      </c>
      <c r="E57" s="115">
        <f t="shared" si="0"/>
        <v>669.7806662275658</v>
      </c>
      <c r="F57" s="115">
        <f t="shared" si="1"/>
        <v>45704.352288333328</v>
      </c>
      <c r="G57" s="115">
        <f t="shared" si="2"/>
        <v>7599.7213899999997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58031.857282338671</v>
      </c>
    </row>
    <row r="58" spans="2:12">
      <c r="B58" s="267">
        <f>Indexador!B48</f>
        <v>44774</v>
      </c>
      <c r="C58" s="1153">
        <f t="shared" si="3"/>
        <v>0</v>
      </c>
      <c r="D58" s="1300">
        <f t="shared" si="4"/>
        <v>4058.0029377777751</v>
      </c>
      <c r="E58" s="1153">
        <f t="shared" si="0"/>
        <v>669.7806662275658</v>
      </c>
      <c r="F58" s="1153">
        <f t="shared" si="1"/>
        <v>45704.352288333328</v>
      </c>
      <c r="G58" s="1153">
        <f t="shared" si="2"/>
        <v>7599.7213899999997</v>
      </c>
      <c r="H58" s="1153">
        <f>IFERROR((VLOOKUP("Parcela B",TabFinanCovid[],4,FALSE)/12),0)</f>
        <v>0</v>
      </c>
      <c r="I58" s="1153">
        <f>IFERROR(VLOOKUP("Créditos de Pis/Cofins",TabFinanNeutralidade[[#All],[Detalhe_Grupo_TARIFA]:[valor]],2,FALSE)/12,0)</f>
        <v>0</v>
      </c>
      <c r="J58" s="1301">
        <f t="shared" si="5"/>
        <v>58031.857282338671</v>
      </c>
    </row>
    <row r="60" spans="2:12">
      <c r="C60" s="68" t="s">
        <v>1277</v>
      </c>
      <c r="L60" s="196">
        <v>42491</v>
      </c>
    </row>
    <row r="61" spans="2:12" ht="28.5">
      <c r="C61" s="1456" t="s">
        <v>2081</v>
      </c>
      <c r="D61" s="1233" t="s">
        <v>46</v>
      </c>
      <c r="E61" s="1233" t="s">
        <v>40</v>
      </c>
      <c r="F61" s="1233" t="s">
        <v>41</v>
      </c>
      <c r="G61" s="1233" t="s">
        <v>47</v>
      </c>
      <c r="H61" s="1468" t="s">
        <v>2082</v>
      </c>
      <c r="I61" s="1468" t="s">
        <v>2084</v>
      </c>
      <c r="J61" s="1233" t="s">
        <v>1276</v>
      </c>
      <c r="L61" s="1233" t="s">
        <v>48</v>
      </c>
    </row>
    <row r="62" spans="2:12">
      <c r="B62" s="267">
        <f t="shared" ref="B62:B73" si="6">B47</f>
        <v>44440</v>
      </c>
      <c r="C62" s="1302">
        <f ca="1">Calc_Mercado!S63</f>
        <v>0</v>
      </c>
      <c r="D62" s="1302">
        <f ca="1">Calc_Mercado!F63</f>
        <v>4058.8024665390831</v>
      </c>
      <c r="E62" s="1144">
        <f ca="1">Calc_Mercado!I63</f>
        <v>678.49271684149255</v>
      </c>
      <c r="F62" s="1290">
        <f ca="1">Calc_Mercado!H63</f>
        <v>45851.287022986937</v>
      </c>
      <c r="G62" s="1290">
        <f ca="1">Calc_Mercado!G63</f>
        <v>7599.9059663576591</v>
      </c>
      <c r="H62" s="1469">
        <f ca="1">IFERROR((VLOOKUP("Parcela B",TabFinanCovid[],4,FALSE)/VLOOKUP("Parcela B",TabFinanNeutralidade[],3,FALSE))*Calc_Mercado!T63,0)</f>
        <v>0</v>
      </c>
      <c r="I62" s="1469">
        <f ca="1">Calc_Mercado!U63</f>
        <v>0</v>
      </c>
      <c r="J62" s="1299">
        <f t="shared" ref="J62:J73" ca="1" si="7">SUM(C62:G62)</f>
        <v>58188.488172725178</v>
      </c>
      <c r="L62" s="1302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4004.1525878903972</v>
      </c>
      <c r="E63" s="115">
        <f ca="1">Calc_Mercado!I64</f>
        <v>663.64441152218694</v>
      </c>
      <c r="F63" s="80">
        <f ca="1">Calc_Mercado!H64</f>
        <v>45146.549551376083</v>
      </c>
      <c r="G63" s="80">
        <f ca="1">Calc_Mercado!G64</f>
        <v>7499.1407030928949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57313.487253881562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3947.8222343357315</v>
      </c>
      <c r="E64" s="115">
        <f ca="1">Calc_Mercado!I65</f>
        <v>648.73271392593506</v>
      </c>
      <c r="F64" s="80">
        <f ca="1">Calc_Mercado!H65</f>
        <v>44417.19439511891</v>
      </c>
      <c r="G64" s="80">
        <f ca="1">Calc_Mercado!G65</f>
        <v>7393.7844710239106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56407.533814404487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3715.387714784943</v>
      </c>
      <c r="E65" s="115">
        <f ca="1">Calc_Mercado!I66</f>
        <v>637.26641617294183</v>
      </c>
      <c r="F65" s="80">
        <f ca="1">Calc_Mercado!H66</f>
        <v>42241.929219946804</v>
      </c>
      <c r="G65" s="80">
        <f ca="1">Calc_Mercado!G66</f>
        <v>6955.9481485167998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53550.531499421486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3604.3433711062739</v>
      </c>
      <c r="E66" s="115">
        <f ca="1">Calc_Mercado!I67</f>
        <v>606.10010586990984</v>
      </c>
      <c r="F66" s="80">
        <f ca="1">Calc_Mercado!H67</f>
        <v>40767.624780399536</v>
      </c>
      <c r="G66" s="80">
        <f ca="1">Calc_Mercado!G67</f>
        <v>6747.2847528650309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51725.353010240753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4254.5423432109883</v>
      </c>
      <c r="E67" s="115">
        <f ca="1">Calc_Mercado!I68</f>
        <v>725.98700407541514</v>
      </c>
      <c r="F67" s="80">
        <f ca="1">Calc_Mercado!H68</f>
        <v>48291.112736901319</v>
      </c>
      <c r="G67" s="80">
        <f ca="1">Calc_Mercado!G68</f>
        <v>7962.7852057334112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61234.427289921136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4346.0578286727405</v>
      </c>
      <c r="E68" s="115">
        <f ca="1">Calc_Mercado!I69</f>
        <v>715.35111930185587</v>
      </c>
      <c r="F68" s="80">
        <f ca="1">Calc_Mercado!H69</f>
        <v>48855.172585573186</v>
      </c>
      <c r="G68" s="80">
        <f ca="1">Calc_Mercado!G69</f>
        <v>8129.9418898901376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62046.523423437917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3507.0804804454388</v>
      </c>
      <c r="E69" s="115">
        <f ca="1">Calc_Mercado!I70</f>
        <v>581.38322678670386</v>
      </c>
      <c r="F69" s="80">
        <f ca="1">Calc_Mercado!H70</f>
        <v>39466.235582182657</v>
      </c>
      <c r="G69" s="80">
        <f ca="1">Calc_Mercado!G70</f>
        <v>6556.1555222429233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50110.854811657722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3887.5099296199528</v>
      </c>
      <c r="E70" s="115">
        <f ca="1">Calc_Mercado!I71</f>
        <v>633.72828801439994</v>
      </c>
      <c r="F70" s="80">
        <f ca="1">Calc_Mercado!H71</f>
        <v>43554.851669887183</v>
      </c>
      <c r="G70" s="80">
        <f ca="1">Calc_Mercado!G71</f>
        <v>7265.8606872529062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55341.950574774441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3890.6916187185693</v>
      </c>
      <c r="E71" s="115">
        <f ca="1">Calc_Mercado!I72</f>
        <v>663.60595664346499</v>
      </c>
      <c r="F71" s="80">
        <f ca="1">Calc_Mercado!H72</f>
        <v>43994.132283430714</v>
      </c>
      <c r="G71" s="80">
        <f ca="1">Calc_Mercado!G72</f>
        <v>7256.7555484863296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55805.185407279074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3754.4713272264562</v>
      </c>
      <c r="E72" s="115">
        <f ca="1">Calc_Mercado!I73</f>
        <v>628.52929793855162</v>
      </c>
      <c r="F72" s="80">
        <f ca="1">Calc_Mercado!H73</f>
        <v>42260.500102724633</v>
      </c>
      <c r="G72" s="80">
        <f ca="1">Calc_Mercado!G73</f>
        <v>7004.0407140702728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53647.541441959911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3">
        <f ca="1">Calc_Mercado!S74</f>
        <v>0</v>
      </c>
      <c r="D73" s="1303">
        <f ca="1">Calc_Mercado!F74</f>
        <v>4062.0477642779178</v>
      </c>
      <c r="E73" s="1153">
        <f ca="1">Calc_Mercado!I74</f>
        <v>683.7085465781837</v>
      </c>
      <c r="F73" s="1295">
        <f ca="1">Calc_Mercado!H74</f>
        <v>45796.031070690493</v>
      </c>
      <c r="G73" s="1295">
        <f ca="1">Calc_Mercado!G74</f>
        <v>7579.4520318616896</v>
      </c>
      <c r="H73" s="1295">
        <f ca="1">IFERROR((VLOOKUP("Parcela B",TabFinanCovid[],4,FALSE)/VLOOKUP("Parcela B",TabFinanNeutralidade[],3,FALSE))*Calc_Mercado!T74,0)</f>
        <v>0</v>
      </c>
      <c r="I73" s="1295">
        <f ca="1">Calc_Mercado!U74</f>
        <v>0</v>
      </c>
      <c r="J73" s="1301">
        <f t="shared" ca="1" si="7"/>
        <v>58121.239413408286</v>
      </c>
      <c r="L73" s="130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zoomScaleNormal="100" workbookViewId="0"/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0</v>
      </c>
      <c r="AE6" s="23">
        <f>SMALL(Q41:Q42,1)</f>
        <v>0</v>
      </c>
    </row>
    <row r="7" spans="2:49" ht="18.75" customHeight="1">
      <c r="B7" s="299" t="s">
        <v>735</v>
      </c>
      <c r="K7" s="1052" t="s">
        <v>736</v>
      </c>
      <c r="L7" s="1052" t="s">
        <v>737</v>
      </c>
      <c r="S7" s="1834" t="s">
        <v>738</v>
      </c>
      <c r="T7" s="1834"/>
      <c r="U7" s="1834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6.7777071466531905E-2</v>
      </c>
      <c r="S8" s="47" t="s">
        <v>744</v>
      </c>
      <c r="T8" s="364">
        <f ca="1">U8/$U$15</f>
        <v>0.29602199123811718</v>
      </c>
      <c r="U8" s="56">
        <f>AU239</f>
        <v>2400000</v>
      </c>
      <c r="V8" s="61" t="s">
        <v>192</v>
      </c>
      <c r="W8" s="62">
        <f ca="1">T12</f>
        <v>0.24918808782576196</v>
      </c>
      <c r="X8" s="62">
        <f ca="1">W8/(1-$W$10)</f>
        <v>0.34182617464992965</v>
      </c>
    </row>
    <row r="9" spans="2:49" ht="15" customHeight="1">
      <c r="B9" s="301" t="s">
        <v>745</v>
      </c>
      <c r="K9" s="360" t="s">
        <v>717</v>
      </c>
      <c r="L9" s="361">
        <f ca="1">Resultado!E24</f>
        <v>-3.130648596408402E-3</v>
      </c>
      <c r="S9" s="47" t="s">
        <v>746</v>
      </c>
      <c r="T9" s="364">
        <f ca="1">U9/$U$15</f>
        <v>0.21517406493517605</v>
      </c>
      <c r="U9" s="56">
        <f ca="1">AU230</f>
        <v>1744524.9715553098</v>
      </c>
      <c r="V9" s="47" t="s">
        <v>747</v>
      </c>
      <c r="W9" s="57">
        <f ca="1">T13</f>
        <v>2.1821254624505453E-2</v>
      </c>
      <c r="X9" s="62">
        <f ca="1">W9/(1-$W$10)</f>
        <v>2.9933517526617659E-2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-5.4284998853001372E-2</v>
      </c>
      <c r="S10" s="47" t="s">
        <v>750</v>
      </c>
      <c r="T10" s="364">
        <f ca="1">U10/$U$15</f>
        <v>9.0468394479164285E-2</v>
      </c>
      <c r="U10" s="56">
        <f>AU232</f>
        <v>733473.02962819999</v>
      </c>
      <c r="V10" s="1053" t="s">
        <v>751</v>
      </c>
      <c r="W10" s="1054">
        <f ca="1">SUM(W8:W9)</f>
        <v>0.27100934245026742</v>
      </c>
      <c r="X10" s="1054">
        <f ca="1">SUM(X8:X9)</f>
        <v>0.37175969217654731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0.10607432798178261</v>
      </c>
      <c r="S11" s="1055" t="s">
        <v>743</v>
      </c>
      <c r="T11" s="1056">
        <f ca="1">U11/$U$15</f>
        <v>0.12732620689727506</v>
      </c>
      <c r="U11" s="1057">
        <f ca="1">AU219</f>
        <v>1032297.9562273542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>
        <f ca="1">linktxttotfin</f>
        <v>-0.26369999999999999</v>
      </c>
      <c r="S12" s="47" t="s">
        <v>192</v>
      </c>
      <c r="T12" s="57">
        <f ca="1">Calc_Mercado!J8</f>
        <v>0.24918808782576196</v>
      </c>
      <c r="U12" s="56">
        <f ca="1">T12*U15</f>
        <v>2020293.8581706993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0.25180000000000002</v>
      </c>
      <c r="S13" s="47" t="s">
        <v>755</v>
      </c>
      <c r="T13" s="58">
        <f ca="1">Calc_Mercado!J9</f>
        <v>2.1821254624505453E-2</v>
      </c>
      <c r="U13" s="56">
        <f ca="1">T13*U15</f>
        <v>176915.94762865562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0.10445708587895863</v>
      </c>
      <c r="S14" s="47" t="s">
        <v>758</v>
      </c>
      <c r="T14" s="364">
        <f ca="1">SUM(T12:T13)</f>
        <v>0.27100934245026742</v>
      </c>
      <c r="U14" s="56">
        <f ca="1">SUM(U12:U13)</f>
        <v>2197209.8057993548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3" t="s">
        <v>760</v>
      </c>
      <c r="T15" s="1058">
        <f ca="1">SUM(T8:T11)+T14</f>
        <v>1</v>
      </c>
      <c r="U15" s="1059">
        <f ca="1">SUM(U8:U11)/(1-T14)</f>
        <v>8107505.7632102193</v>
      </c>
      <c r="V15" s="633"/>
      <c r="AC15" s="23" t="s">
        <v>761</v>
      </c>
      <c r="AD15" s="413">
        <f ca="1">Resultado!C39</f>
        <v>1838453.4257942513</v>
      </c>
      <c r="AE15" s="413">
        <f ca="1">Resultado!C33</f>
        <v>2031904.167979738</v>
      </c>
      <c r="AF15" s="413">
        <f ca="1">Resultado!C24</f>
        <v>750046.36106290016</v>
      </c>
      <c r="AG15" s="413">
        <f ca="1">Resultado!C14</f>
        <v>673493.11611311208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2400000</v>
      </c>
      <c r="AE16" s="413">
        <f ca="1">Resultado!D33</f>
        <v>1744524.9715553098</v>
      </c>
      <c r="AF16" s="413">
        <f>Resultado!D24</f>
        <v>733473.02962819999</v>
      </c>
      <c r="AG16" s="413">
        <f ca="1">Resultado!D14</f>
        <v>1032297.9562273542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8" t="s">
        <v>765</v>
      </c>
      <c r="T20" s="1838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0.40607103557828816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0.2951671090798535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0.12410089696244485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2.2568494087465783E-2</v>
      </c>
      <c r="AL26" s="353"/>
    </row>
    <row r="27" spans="2:46" ht="15" customHeight="1">
      <c r="S27" s="47" t="s">
        <v>41</v>
      </c>
      <c r="T27" s="55">
        <f ca="1">AX223</f>
        <v>0.13097942464612611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1.6644196734377256E-3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4.3543387988431582E-2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0" t="s">
        <v>769</v>
      </c>
      <c r="T31" s="1061">
        <f ca="1">SUM(T21:T30)</f>
        <v>1.0240947680160477</v>
      </c>
    </row>
    <row r="36" spans="1:36" ht="15" customHeight="1">
      <c r="N36" s="632" t="s">
        <v>770</v>
      </c>
      <c r="O36" s="632"/>
      <c r="P36" s="1062" t="e">
        <f>VLOOKUP(LnkTXTSigla,Informacoes[],35,FALSE)</f>
        <v>#REF!</v>
      </c>
      <c r="Q36" s="1063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4"/>
      <c r="M38" s="1065">
        <f t="shared" ref="M38:V38" si="0">DATE(M37,MONTH(DataRevRea),1)</f>
        <v>41518</v>
      </c>
      <c r="N38" s="1065">
        <f t="shared" si="0"/>
        <v>41883</v>
      </c>
      <c r="O38" s="1065">
        <f t="shared" si="0"/>
        <v>42248</v>
      </c>
      <c r="P38" s="1065">
        <f t="shared" si="0"/>
        <v>42614</v>
      </c>
      <c r="Q38" s="1065">
        <f t="shared" si="0"/>
        <v>42979</v>
      </c>
      <c r="R38" s="1065">
        <f t="shared" si="0"/>
        <v>43344</v>
      </c>
      <c r="S38" s="1065">
        <f t="shared" si="0"/>
        <v>43709</v>
      </c>
      <c r="T38" s="1065">
        <f t="shared" si="0"/>
        <v>44075</v>
      </c>
      <c r="U38" s="1065">
        <f t="shared" si="0"/>
        <v>44440</v>
      </c>
      <c r="V38" s="1065">
        <f t="shared" si="0"/>
        <v>44805</v>
      </c>
      <c r="W38" s="1065" t="s">
        <v>704</v>
      </c>
    </row>
    <row r="39" spans="1:36" ht="15" customHeight="1">
      <c r="L39" s="65" t="str">
        <f>CAPA!C9</f>
        <v>Cersad</v>
      </c>
      <c r="M39" s="401">
        <f>SUMIF(TAbtarifasb1[[#All],[Sigla]],LnkTXTSigla,TAbtarifasb1[[#All],[2013]])</f>
        <v>0</v>
      </c>
      <c r="N39" s="401">
        <f>SUMIF(TAbtarifasb1[[#All],[Sigla]],LnkTXTSigla,TAbtarifasb1[[#All],[2014]])</f>
        <v>0</v>
      </c>
      <c r="O39" s="401">
        <f>SUMIF(TAbtarifasb1[[#All],[Sigla]],LnkTXTSigla,TAbtarifasb1[[#All],[2015]])</f>
        <v>0</v>
      </c>
      <c r="P39" s="411">
        <f>SUMIF(TAbtarifasb1[[#All],[Sigla]],LnkTXTSigla,TAbtarifasb1[[#All],[2016]])</f>
        <v>0</v>
      </c>
      <c r="Q39" s="411">
        <f>SUMIF(TAbtarifasb1[[#All],[Sigla]],LnkTXTSigla,TAbtarifasb1[[#All],[2017]])</f>
        <v>0</v>
      </c>
      <c r="R39" s="755">
        <f>SUMIF(TAbtarifasb1[[#All],[Sigla]],LnkTXTSigla,TAbtarifasb1[[#All],[2018]])</f>
        <v>520.95000000000005</v>
      </c>
      <c r="S39" s="755">
        <f>SUMIF(TAbtarifasb1[[#All],[Sigla]],LnkTXTSigla,TAbtarifasb1[[#All],[2019]])</f>
        <v>564.18000000000006</v>
      </c>
      <c r="T39" s="413">
        <f>SUMIF(TAbtarifasb1[[#All],[Sigla]],LnkTXTSigla,TAbtarifasb1[[#All],[2020]])</f>
        <v>604.55000000000007</v>
      </c>
      <c r="U39" s="413">
        <f>SUMIF(TAbtarifasb1[[#All],[Sigla]],LnkTXTSigla,TAbtarifasb1[[#All],[2021]])</f>
        <v>472.58</v>
      </c>
      <c r="V39" s="413">
        <f>Resultado!L6</f>
        <v>538.05999999999995</v>
      </c>
      <c r="W39" s="743" t="e">
        <f>V39/M39-1</f>
        <v>#DIV/0!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3">
        <f>V40/M40-1</f>
        <v>-1</v>
      </c>
    </row>
    <row r="41" spans="1:36" ht="15" customHeight="1">
      <c r="L41" s="65" t="s">
        <v>771</v>
      </c>
      <c r="M41" s="402">
        <f>M39</f>
        <v>0</v>
      </c>
      <c r="N41" s="402">
        <f>VLOOKUP(DATE(YEAR(O38),MONTH(O38)-1,1),Índices!$B:$F,2,FALSE)/VLOOKUP(DATE(YEAR(Q36),MONTH(Q36)-1,1),Índices!$B:$F,2,FALSE)*M41</f>
        <v>0</v>
      </c>
      <c r="O41" s="402">
        <f>VLOOKUP(DATE(YEAR(O38),MONTH(O38)-1,1),Índices!$B:$F,2,FALSE)/VLOOKUP(DATE(YEAR(N38),MONTH(N38)-1,1),Índices!$B:$F,2,FALSE)*N41</f>
        <v>0</v>
      </c>
      <c r="P41" s="402">
        <f>VLOOKUP(DATE(YEAR(P38),MONTH(P38)-1,1),Índices!$B:$F,2,FALSE)/VLOOKUP(DATE(YEAR(O38),MONTH(O38)-1,1),Índices!$B:$F,2,FALSE)*O41</f>
        <v>0</v>
      </c>
      <c r="Q41" s="402">
        <f>VLOOKUP(DATE(YEAR(Q38),MONTH(Q38)-1,1),Índices!$B:$F,2,FALSE)/VLOOKUP(DATE(YEAR(P38),MONTH(P38)-1,1),Índices!$B:$F,2,FALSE)*P41</f>
        <v>0</v>
      </c>
      <c r="R41" s="363">
        <f>IF(R37=YEAR(CAPA!$C$114),'Tabelas e Gráficos'!R39,(VLOOKUP(DATE(YEAR(R38),MONTH(R38)-1,1),Índices!$B:$F,2,FALSE)/VLOOKUP(DATE(YEAR(Q38),MONTH(Q38)-1,1),Índices!$B:$F,2,FALSE)*Q41))</f>
        <v>520.95000000000005</v>
      </c>
      <c r="S41" s="363">
        <f>IF(S37=YEAR(CAPA!$C$114),'Tabelas e Gráficos'!S39,(VLOOKUP(DATE(YEAR(S38),MONTH(S38)-1,1),Índices!$B:$F,2,FALSE)/VLOOKUP(DATE(YEAR(R38),MONTH(R38)-1,1),Índices!$B:$F,2,FALSE)*R41))</f>
        <v>546.73107697701369</v>
      </c>
      <c r="T41" s="363">
        <f>IF(T37=YEAR(CAPA!$C$114),'Tabelas e Gráficos'!T39,(VLOOKUP(DATE(YEAR(T38),MONTH(T38)-1,1),Índices!$B:$F,2,FALSE)/VLOOKUP(DATE(YEAR(S38),MONTH(S38)-1,1),Índices!$B:$F,2,FALSE)*S41))</f>
        <v>617.93881992711749</v>
      </c>
      <c r="U41" s="402">
        <f>VLOOKUP(DATE(YEAR(U38),MONTH(U38)-1,1),Índices!$B:$F,2,FALSE)/VLOOKUP(DATE(YEAR(T38),MONTH(T38)-1,1),Índices!$B:$F,2,FALSE)*T41</f>
        <v>810.21257002865991</v>
      </c>
      <c r="V41" s="402">
        <f>VLOOKUP(DATE(YEAR(V38),MONTH(V38)-1,1),Índices!$B:$F,2,FALSE)/VLOOKUP(DATE(YEAR(U38),MONTH(U38)-1,1),Índices!$B:$F,2,FALSE)*U41</f>
        <v>879.78918191703588</v>
      </c>
      <c r="W41" s="743" t="e">
        <f>V41/M41-1</f>
        <v>#DIV/0!</v>
      </c>
    </row>
    <row r="42" spans="1:36" ht="15" customHeight="1">
      <c r="L42" s="1066" t="s">
        <v>772</v>
      </c>
      <c r="M42" s="1068">
        <f>M39</f>
        <v>0</v>
      </c>
      <c r="N42" s="1068">
        <f>VLOOKUP(DATE(YEAR(N38),MONTH(N38)-1,1),Índices!$B:$F,3,FALSE)/VLOOKUP(DATE(YEAR(Q36),MONTH(Q36)-1,1),Índices!$B:$F,3,FALSE)*M42</f>
        <v>0</v>
      </c>
      <c r="O42" s="1068">
        <f>VLOOKUP(DATE(YEAR(O38),MONTH(O38)-1,1),Índices!$B:$F,3,FALSE)/VLOOKUP(DATE(YEAR(N38),MONTH(N38)-1,1),Índices!$B:$F,3,FALSE)*N42</f>
        <v>0</v>
      </c>
      <c r="P42" s="1068">
        <f>VLOOKUP(DATE(YEAR(P38),MONTH(P38)-1,1),Índices!$B:$F,3,FALSE)/VLOOKUP(DATE(YEAR(O38),MONTH(O38)-1,1),Índices!$B:$F,3,FALSE)*O42</f>
        <v>0</v>
      </c>
      <c r="Q42" s="1068">
        <f>VLOOKUP(DATE(YEAR(Q38),MONTH(Q38)-1,1),Índices!$B:$F,3,FALSE)/VLOOKUP(DATE(YEAR(P38),MONTH(P38)-1,1),Índices!$B:$F,3,FALSE)*P42</f>
        <v>0</v>
      </c>
      <c r="R42" s="1067">
        <f>IF(R37=YEAR(CAPA!$C$114),'Tabelas e Gráficos'!R39,(VLOOKUP(DATE(YEAR(R38),MONTH(R38)-1,1),Índices!$B:$F,3,FALSE)/VLOOKUP(DATE(YEAR(Q38),MONTH(Q38)-1,1),Índices!$B:$F,3,FALSE)*'Tabelas e Gráficos'!Q42))</f>
        <v>520.95000000000005</v>
      </c>
      <c r="S42" s="1067">
        <f>IF(S37=YEAR(CAPA!$C$114),'Tabelas e Gráficos'!S39,(VLOOKUP(DATE(YEAR(S38),MONTH(S38)-1,1),Índices!$B:$F,3,FALSE)/VLOOKUP(DATE(YEAR(R38),MONTH(R38)-1,1),Índices!$B:$F,3,FALSE)*'Tabelas e Gráficos'!R42))</f>
        <v>538.81137245479147</v>
      </c>
      <c r="T42" s="1067">
        <f>IF(T37=YEAR(CAPA!$C$114),'Tabelas e Gráficos'!T39,(VLOOKUP(DATE(YEAR(T38),MONTH(T38)-1,1),Índices!$B:$F,3,FALSE)/VLOOKUP(DATE(YEAR(S38),MONTH(S38)-1,1),Índices!$B:$F,3,FALSE)*'Tabelas e Gráficos'!S42))</f>
        <v>551.9500978926385</v>
      </c>
      <c r="U42" s="1068">
        <f>VLOOKUP(DATE(YEAR(U38),MONTH(U38)-1,1),Índices!$B:$F,3,FALSE)/VLOOKUP(DATE(YEAR(T38),MONTH(T38)-1,1),Índices!$B:$F,3,FALSE)*T42</f>
        <v>605.37761788646833</v>
      </c>
      <c r="V42" s="1068">
        <f>VLOOKUP(DATE(YEAR(V38),MONTH(V38)-1,1),Índices!$B:$F,3,FALSE)/VLOOKUP(DATE(YEAR(U38),MONTH(U38)-1,1),Índices!$B:$F,3,FALSE)*U42</f>
        <v>658.21068601974468</v>
      </c>
      <c r="W42" s="743" t="e">
        <f>V42/M42-1</f>
        <v>#DIV/0!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3"/>
      <c r="B49" s="643"/>
      <c r="C49" s="643"/>
      <c r="D49" s="643"/>
      <c r="E49" s="643"/>
      <c r="F49" s="643"/>
      <c r="G49" s="643"/>
      <c r="H49" s="644"/>
      <c r="I49" s="643"/>
      <c r="J49" s="643"/>
      <c r="K49" s="645"/>
      <c r="L49" s="645"/>
      <c r="M49" s="645"/>
      <c r="N49" s="645"/>
      <c r="O49" s="645"/>
      <c r="P49" s="645"/>
      <c r="Q49" s="643"/>
      <c r="R49" s="643"/>
      <c r="S49" s="646"/>
      <c r="T49" s="643"/>
      <c r="U49" s="643"/>
      <c r="V49" s="643"/>
      <c r="W49" s="643"/>
      <c r="X49" s="643"/>
      <c r="Y49" s="643"/>
      <c r="Z49" s="643"/>
      <c r="AA49" s="643"/>
      <c r="AB49" s="643"/>
      <c r="AC49" s="643"/>
      <c r="AD49" s="643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9"/>
      <c r="M51" s="1839"/>
      <c r="N51" s="1839"/>
      <c r="O51" s="49"/>
      <c r="P51" s="49"/>
    </row>
    <row r="52" spans="1:47" ht="15" customHeight="1">
      <c r="B52" s="305" t="s">
        <v>776</v>
      </c>
      <c r="C52" s="306">
        <f ca="1">Resultado!C5</f>
        <v>5910295.9574108645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5293897.0709500015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0.11643575199890477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-0.26369999999999999</v>
      </c>
      <c r="D55" s="307"/>
      <c r="E55" s="28"/>
      <c r="H55" s="23"/>
      <c r="K55" s="49"/>
      <c r="L55" s="642"/>
      <c r="M55" s="639"/>
      <c r="N55" s="640"/>
      <c r="O55" s="49"/>
      <c r="P55" s="49"/>
    </row>
    <row r="56" spans="1:47" ht="15" customHeight="1">
      <c r="B56" s="1069" t="str">
        <f>Resultado!B9</f>
        <v>Variação econômica e financeira</v>
      </c>
      <c r="C56" s="1070">
        <f ca="1">C54+C55</f>
        <v>-0.14726424800109522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6"/>
      <c r="M57" s="516"/>
      <c r="N57" s="516"/>
      <c r="O57" s="516"/>
      <c r="P57" s="516"/>
      <c r="Q57" s="516"/>
      <c r="R57" s="516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7"/>
      <c r="M58" s="518"/>
      <c r="N58" s="519"/>
      <c r="O58" s="513"/>
      <c r="P58" s="513"/>
      <c r="Q58" s="514"/>
      <c r="R58" s="515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9460.0060000000012</v>
      </c>
      <c r="G60" s="306">
        <f ca="1">Calc_Mercado!D8</f>
        <v>5293897.0709500015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4851.8040000000001</v>
      </c>
      <c r="G65" s="306">
        <f ca="1">Calc_Mercado!D13</f>
        <v>2452683.6531299995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4608.2020000000011</v>
      </c>
      <c r="G67" s="306">
        <f ca="1">Calc_Mercado!D15</f>
        <v>2841213.4178200024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9" t="s">
        <v>769</v>
      </c>
      <c r="F70" s="1071">
        <f ca="1">Calc_Mercado!C25</f>
        <v>9460.0060000000012</v>
      </c>
      <c r="G70" s="1071">
        <f ca="1">Calc_Mercado!D25</f>
        <v>5293897.0709500015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6"/>
      <c r="D74" s="1836"/>
      <c r="E74" s="1836"/>
      <c r="I74" s="1072" t="s">
        <v>743</v>
      </c>
      <c r="J74" s="1073">
        <f ca="1">SUM(J75:J84)</f>
        <v>673493.11611311208</v>
      </c>
      <c r="K74" s="1074">
        <f ca="1">SUM(K75:K84)</f>
        <v>0.12722066694663789</v>
      </c>
      <c r="L74" s="313" t="s">
        <v>782</v>
      </c>
      <c r="N74" s="34"/>
      <c r="AG74" s="49"/>
      <c r="AH74" s="1843"/>
      <c r="AI74" s="1843"/>
      <c r="AJ74" s="1843"/>
      <c r="AK74" s="635"/>
      <c r="AL74" s="49"/>
      <c r="AM74" s="49"/>
      <c r="AN74" s="49"/>
      <c r="AO74" s="49"/>
    </row>
    <row r="75" spans="2:43" ht="15" hidden="1" customHeight="1">
      <c r="B75" s="30"/>
      <c r="C75" s="1835"/>
      <c r="D75" s="1835"/>
      <c r="E75" s="1835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44"/>
      <c r="AI75" s="1844"/>
      <c r="AJ75" s="1844"/>
      <c r="AK75" s="636"/>
      <c r="AL75" s="417"/>
      <c r="AM75" s="49"/>
      <c r="AN75" s="49"/>
      <c r="AO75" s="49"/>
    </row>
    <row r="76" spans="2:43" ht="15" hidden="1" customHeight="1">
      <c r="B76" s="30"/>
      <c r="C76" s="1835"/>
      <c r="D76" s="1835"/>
      <c r="E76" s="1835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7"/>
      <c r="AL76" s="49"/>
      <c r="AM76" s="49"/>
      <c r="AN76" s="49"/>
      <c r="AO76" s="49"/>
    </row>
    <row r="77" spans="2:43" ht="15" customHeight="1">
      <c r="B77" s="30"/>
      <c r="C77" s="1835"/>
      <c r="D77" s="1835"/>
      <c r="E77" s="1835"/>
      <c r="I77" s="35" t="str">
        <f>Resultado!B17</f>
        <v>Taxa de Fisc. de Serviços de E.E. – TFSEE</v>
      </c>
      <c r="J77" s="315">
        <f ca="1">Mercado_Faturado_Encargo_TFSEE_BRUTO</f>
        <v>7866.529803671041</v>
      </c>
      <c r="K77" s="36">
        <f ca="1">J77/$J$98</f>
        <v>1.4859619857058111E-3</v>
      </c>
      <c r="L77" s="313">
        <f ca="1">IF(J77=0,0,1)</f>
        <v>1</v>
      </c>
      <c r="N77" s="36"/>
      <c r="AG77" s="49"/>
      <c r="AH77" s="49"/>
      <c r="AI77" s="49"/>
      <c r="AJ77" s="49"/>
      <c r="AK77" s="637"/>
      <c r="AL77" s="49"/>
      <c r="AM77" s="49"/>
      <c r="AN77" s="49"/>
      <c r="AO77" s="49"/>
    </row>
    <row r="78" spans="2:43" ht="15" customHeight="1">
      <c r="B78" s="30"/>
      <c r="C78" s="1835"/>
      <c r="D78" s="1835"/>
      <c r="E78" s="1835"/>
      <c r="I78" s="35" t="str">
        <f>Resultado!B18</f>
        <v>Conta de Desenvolvimento Energético – CDE</v>
      </c>
      <c r="J78" s="315">
        <f ca="1">Mercado_Faturado_Encargo_CDE_BRUTO</f>
        <v>530642.62100121856</v>
      </c>
      <c r="K78" s="36">
        <f ca="1">J78/$J$98</f>
        <v>0.10023667137638427</v>
      </c>
      <c r="L78" s="313">
        <f t="shared" ref="L78:L95" ca="1" si="2">IF(J78=0,0,1)</f>
        <v>1</v>
      </c>
      <c r="N78" s="36"/>
      <c r="AG78" s="49"/>
      <c r="AH78" s="1844"/>
      <c r="AI78" s="1844"/>
      <c r="AJ78" s="1844"/>
      <c r="AK78" s="636"/>
      <c r="AL78" s="417"/>
      <c r="AM78" s="49"/>
      <c r="AN78" s="49"/>
      <c r="AO78" s="49"/>
    </row>
    <row r="79" spans="2:43" ht="15" hidden="1" customHeight="1">
      <c r="B79" s="30"/>
      <c r="C79" s="1835"/>
      <c r="D79" s="1835"/>
      <c r="E79" s="1835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7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16"/>
      <c r="D80" s="1716"/>
      <c r="E80" s="1716"/>
      <c r="I80" s="35" t="s">
        <v>2303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7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5"/>
      <c r="D81" s="1835"/>
      <c r="E81" s="1835"/>
      <c r="I81" s="35" t="str">
        <f>Resultado!B20</f>
        <v>Encargos Serv. Sist. - ESS e Energ. Reserv. – EER</v>
      </c>
      <c r="J81" s="315">
        <f ca="1">Mercado_Faturado_Encargo_ESSERR_BRUTO</f>
        <v>47032.909666828491</v>
      </c>
      <c r="K81" s="36">
        <f ca="1">J81/$J$98</f>
        <v>8.8843642096706529E-3</v>
      </c>
      <c r="L81" s="313">
        <v>0</v>
      </c>
      <c r="N81" s="36"/>
      <c r="AG81" s="49"/>
      <c r="AH81" s="49"/>
      <c r="AI81" s="49"/>
      <c r="AJ81" s="49"/>
      <c r="AK81" s="637"/>
      <c r="AL81" s="49"/>
      <c r="AM81" s="49"/>
      <c r="AN81" s="49"/>
      <c r="AO81" s="49"/>
    </row>
    <row r="82" spans="2:41" ht="15" customHeight="1">
      <c r="B82" s="30"/>
      <c r="C82" s="1835"/>
      <c r="D82" s="1835"/>
      <c r="E82" s="1835"/>
      <c r="I82" s="35" t="str">
        <f>Resultado!B21</f>
        <v>PROINFA</v>
      </c>
      <c r="J82" s="315">
        <f ca="1">Mercado_Faturado_Encargo_PROINFA_BRUTO</f>
        <v>87951.055641393963</v>
      </c>
      <c r="K82" s="36">
        <f ca="1">J82/$J$98</f>
        <v>1.6613669374877165E-2</v>
      </c>
      <c r="L82" s="313">
        <f t="shared" ca="1" si="2"/>
        <v>1</v>
      </c>
      <c r="N82" s="34"/>
      <c r="AG82" s="49"/>
      <c r="AH82" s="49"/>
      <c r="AI82" s="49"/>
      <c r="AJ82" s="49"/>
      <c r="AK82" s="637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44"/>
      <c r="AI83" s="1844"/>
      <c r="AJ83" s="1844"/>
      <c r="AK83" s="636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7"/>
      <c r="AL84" s="49"/>
      <c r="AM84" s="49"/>
      <c r="AN84" s="49"/>
      <c r="AO84" s="49"/>
    </row>
    <row r="85" spans="2:41" ht="15" customHeight="1">
      <c r="I85" s="1072" t="s">
        <v>795</v>
      </c>
      <c r="J85" s="1073">
        <f ca="1">SUM(Calc_Mercado!C79:C85)</f>
        <v>2031904.167979738</v>
      </c>
      <c r="K85" s="1074">
        <f ca="1">SUM(K86)</f>
        <v>0.38382011224391038</v>
      </c>
      <c r="L85" s="313">
        <f t="shared" ca="1" si="2"/>
        <v>1</v>
      </c>
      <c r="N85" s="36"/>
      <c r="AG85" s="49"/>
      <c r="AH85" s="49"/>
      <c r="AI85" s="49"/>
      <c r="AJ85" s="49"/>
      <c r="AK85" s="637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2031904.167979738</v>
      </c>
      <c r="K86" s="36">
        <f t="shared" ref="K86:K97" ca="1" si="3">J86/$J$98</f>
        <v>0.38382011224391038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49"/>
      <c r="AL86" s="49"/>
      <c r="AM86" s="49"/>
      <c r="AN86" s="49"/>
      <c r="AO86" s="49"/>
    </row>
    <row r="87" spans="2:41" ht="15" customHeight="1">
      <c r="B87" s="1842"/>
      <c r="C87" s="1842"/>
      <c r="D87" s="1842"/>
      <c r="E87" s="1842"/>
      <c r="F87" s="1842"/>
      <c r="G87" s="39"/>
      <c r="I87" s="1072" t="s">
        <v>797</v>
      </c>
      <c r="J87" s="1073">
        <f ca="1">Resultado!C24</f>
        <v>750046.36106290016</v>
      </c>
      <c r="K87" s="1074">
        <f t="shared" ca="1" si="3"/>
        <v>0.14168132682041412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49"/>
      <c r="AL87" s="49"/>
      <c r="AM87" s="49"/>
      <c r="AN87" s="49"/>
      <c r="AO87" s="49"/>
    </row>
    <row r="88" spans="2:41" ht="15" hidden="1" customHeight="1">
      <c r="B88" s="1841"/>
      <c r="C88" s="1841"/>
      <c r="D88" s="1841"/>
      <c r="E88" s="1841"/>
      <c r="F88" s="1841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8"/>
      <c r="AI88" s="639"/>
      <c r="AJ88" s="640"/>
      <c r="AK88" s="641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41"/>
      <c r="C90" s="1841"/>
      <c r="D90" s="1841"/>
      <c r="E90" s="1841"/>
      <c r="F90" s="1841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42"/>
      <c r="C95" s="1842"/>
      <c r="D95" s="1842"/>
      <c r="E95" s="1842"/>
      <c r="F95" s="1842"/>
      <c r="G95" s="42"/>
      <c r="I95" s="37" t="s">
        <v>639</v>
      </c>
      <c r="J95" s="315">
        <f ca="1">Resultado!C32</f>
        <v>750046.36106290016</v>
      </c>
      <c r="K95" s="36">
        <f t="shared" ca="1" si="3"/>
        <v>0.14168132682041412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41"/>
      <c r="C96" s="1841"/>
      <c r="D96" s="1841"/>
      <c r="E96" s="1841"/>
      <c r="F96" s="1841"/>
      <c r="I96" s="1072" t="s">
        <v>798</v>
      </c>
      <c r="J96" s="1073">
        <f ca="1">J87+J85+J74</f>
        <v>3455443.6451557502</v>
      </c>
      <c r="K96" s="1074">
        <f t="shared" ca="1" si="3"/>
        <v>0.65272210601096237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41"/>
      <c r="C97" s="1841"/>
      <c r="D97" s="1841"/>
      <c r="E97" s="1841"/>
      <c r="F97" s="1841"/>
      <c r="I97" s="1072" t="s">
        <v>799</v>
      </c>
      <c r="J97" s="1073">
        <f ca="1">J98-J96</f>
        <v>1838453.4257942513</v>
      </c>
      <c r="K97" s="1074">
        <f t="shared" ca="1" si="3"/>
        <v>0.34727789398903758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42"/>
      <c r="C98" s="1842"/>
      <c r="D98" s="1842"/>
      <c r="E98" s="1842"/>
      <c r="F98" s="1842"/>
      <c r="G98" s="28"/>
      <c r="I98" s="1069" t="s">
        <v>800</v>
      </c>
      <c r="J98" s="1071">
        <f ca="1">Mercado_RA0_Reais</f>
        <v>5293897.0709500015</v>
      </c>
      <c r="K98" s="1075">
        <f ca="1">K96+K97</f>
        <v>1</v>
      </c>
      <c r="L98" s="31"/>
      <c r="AG98" s="49"/>
      <c r="AH98" s="634"/>
      <c r="AI98" s="634"/>
      <c r="AJ98" s="634"/>
      <c r="AK98" s="49"/>
      <c r="AL98" s="49"/>
      <c r="AM98" s="49"/>
      <c r="AN98" s="49"/>
      <c r="AO98" s="49"/>
    </row>
    <row r="99" spans="2:41" ht="15" customHeight="1">
      <c r="B99" s="1841"/>
      <c r="C99" s="1841"/>
      <c r="D99" s="1841"/>
      <c r="E99" s="1841"/>
      <c r="F99" s="1841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41"/>
      <c r="C100" s="1841"/>
      <c r="D100" s="1841"/>
      <c r="E100" s="1841"/>
      <c r="F100" s="1841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9837.212867354101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774127.16399000003</v>
      </c>
      <c r="O104" s="319">
        <f t="shared" ca="1" si="4"/>
        <v>1</v>
      </c>
    </row>
    <row r="105" spans="2:41" ht="15" hidden="1" customHeight="1">
      <c r="B105" s="1841"/>
      <c r="C105" s="1841"/>
      <c r="D105" s="1841"/>
      <c r="E105" s="1841"/>
      <c r="F105" s="1841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-142407.21</v>
      </c>
      <c r="O106" s="1561">
        <f>IF(N106=0,0,1)</f>
        <v>1</v>
      </c>
    </row>
    <row r="107" spans="2:41" ht="15" customHeight="1">
      <c r="B107" s="1841"/>
      <c r="C107" s="1841"/>
      <c r="D107" s="1841"/>
      <c r="E107" s="1841"/>
      <c r="F107" s="1841"/>
      <c r="G107" s="45"/>
      <c r="M107" s="35" t="str">
        <f>Resultado!B20</f>
        <v>Encargos Serv. Sist. - ESS e Energ. Reserv. – EER</v>
      </c>
      <c r="N107" s="315">
        <f>Resultado!D20</f>
        <v>257354.31</v>
      </c>
      <c r="O107" s="319">
        <f t="shared" si="4"/>
        <v>1</v>
      </c>
    </row>
    <row r="108" spans="2:41" ht="15" customHeight="1">
      <c r="B108" s="1842"/>
      <c r="C108" s="1842"/>
      <c r="D108" s="1842"/>
      <c r="E108" s="1842"/>
      <c r="F108" s="1842"/>
      <c r="G108" s="39"/>
      <c r="M108" s="35" t="str">
        <f>Resultado!B21</f>
        <v>PROINFA</v>
      </c>
      <c r="N108" s="315">
        <f ca="1">Resultado!D21</f>
        <v>133386.47937000002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9" t="s">
        <v>769</v>
      </c>
      <c r="N111" s="1071">
        <f ca="1">SUM(N101:N110)</f>
        <v>1032297.9562273542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7.7925311287505754E-3</v>
      </c>
    </row>
    <row r="115" spans="2:44" ht="15" customHeight="1">
      <c r="B115" s="46"/>
      <c r="C115" s="307"/>
      <c r="D115" s="307"/>
      <c r="P115" s="35" t="s">
        <v>668</v>
      </c>
      <c r="Q115" s="1076">
        <f ca="1">Energia!N14</f>
        <v>0.11911137337696159</v>
      </c>
    </row>
    <row r="116" spans="2:44" ht="15" customHeight="1">
      <c r="B116" s="46"/>
      <c r="C116" s="307"/>
      <c r="D116" s="307"/>
      <c r="P116" s="1069" t="s">
        <v>769</v>
      </c>
      <c r="Q116" s="1075">
        <f ca="1">SUM(Q114:Q115)</f>
        <v>0.12690390450571218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7" t="s">
        <v>805</v>
      </c>
      <c r="T121" s="1078">
        <f ca="1">SUM(T122:T123)</f>
        <v>9460.0060000000012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9460.0060000000012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7" t="s">
        <v>808</v>
      </c>
      <c r="T124" s="1079">
        <f ca="1">SUM(T125:T126)</f>
        <v>83.685257142857125</v>
      </c>
      <c r="U124" s="318">
        <v>1</v>
      </c>
    </row>
    <row r="125" spans="2:44" ht="15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83.685257142857125</v>
      </c>
      <c r="U125" s="318">
        <f ca="1">IF(T125=0,0,1)</f>
        <v>1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9" t="s">
        <v>804</v>
      </c>
      <c r="T127" s="1080">
        <f ca="1">T121+T124</f>
        <v>9543.6912571428584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1" t="s">
        <v>811</v>
      </c>
      <c r="W129" s="1081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4" t="s">
        <v>27</v>
      </c>
      <c r="W130" s="1082" t="s">
        <v>77</v>
      </c>
      <c r="X130" s="1064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284.99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3">
        <f>Energia!B32</f>
        <v>0</v>
      </c>
      <c r="W135" s="1083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4"/>
      <c r="W136" s="1085"/>
      <c r="X136" s="1086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1" t="s">
        <v>813</v>
      </c>
      <c r="AA138" s="1081"/>
      <c r="AB138" s="1081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4453.1414699999996</v>
      </c>
      <c r="AB140" s="331">
        <f>Energia!G35</f>
        <v>284.99</v>
      </c>
      <c r="AC140" s="332">
        <f>AA140*AB140</f>
        <v>1269100.7875353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hidden="1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7">
        <f>Energia!C20</f>
        <v>170.85448258501719</v>
      </c>
      <c r="AB142" s="1088">
        <f>Energia!D20</f>
        <v>0</v>
      </c>
      <c r="AC142" s="1089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7" t="s">
        <v>815</v>
      </c>
      <c r="AA143" s="1090">
        <f ca="1">Energia!M30-Energia!L30</f>
        <v>1068.2754224720593</v>
      </c>
      <c r="AB143" s="1091">
        <f>Energia!M34</f>
        <v>0</v>
      </c>
      <c r="AC143" s="1091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9" t="s">
        <v>769</v>
      </c>
      <c r="AA144" s="1092">
        <f ca="1">SUM(AA140:AA143)</f>
        <v>5692.2713750570765</v>
      </c>
      <c r="AB144" s="1093">
        <f ca="1">AC144/AA144</f>
        <v>222.95156079458258</v>
      </c>
      <c r="AC144" s="1093">
        <f ca="1">SUM(AC140:AC143)</f>
        <v>1269100.7875353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4" t="s">
        <v>753</v>
      </c>
      <c r="AF146" s="1094"/>
      <c r="AG146" s="1094"/>
      <c r="AH146" s="1094"/>
      <c r="AI146" s="1094"/>
      <c r="AJ146" s="1094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4" t="s">
        <v>27</v>
      </c>
      <c r="AF147" s="1064" t="s">
        <v>77</v>
      </c>
      <c r="AG147" s="1064" t="s">
        <v>816</v>
      </c>
      <c r="AH147" s="1064" t="s">
        <v>817</v>
      </c>
      <c r="AI147" s="1064" t="s">
        <v>60</v>
      </c>
      <c r="AJ147" s="1064" t="s">
        <v>818</v>
      </c>
      <c r="AK147" s="1064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29818.329999999994</v>
      </c>
      <c r="AJ148" s="397">
        <f>CUSD!J6</f>
        <v>13.88</v>
      </c>
      <c r="AK148" s="334">
        <f>IFERROR(AI148*AJ148,0)</f>
        <v>413878.42039999994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11595.980000000003</v>
      </c>
      <c r="AJ149" s="397">
        <f>CUSD!J7</f>
        <v>24.15</v>
      </c>
      <c r="AK149" s="334">
        <f t="shared" ref="AK149:AK155" si="6">IFERROR(AI149*AJ149,0)</f>
        <v>280042.91700000007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3068.9218600000004</v>
      </c>
      <c r="AJ150" s="397">
        <f>CUSD!J8</f>
        <v>12.06</v>
      </c>
      <c r="AK150" s="334">
        <f t="shared" si="6"/>
        <v>37011.197631600007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210.65460999999999</v>
      </c>
      <c r="AJ151" s="397">
        <f>CUSD!J9</f>
        <v>12.06</v>
      </c>
      <c r="AK151" s="334">
        <f t="shared" si="6"/>
        <v>2540.4945966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9" t="s">
        <v>819</v>
      </c>
      <c r="AF163" s="1069"/>
      <c r="AG163" s="1069"/>
      <c r="AH163" s="1069"/>
      <c r="AI163" s="1095">
        <f>SUM(AI148:AI162)</f>
        <v>44693.886469999998</v>
      </c>
      <c r="AJ163" s="1071"/>
      <c r="AK163" s="1071">
        <f>SUM(AK148:AK162)</f>
        <v>733473.02962819999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1" t="s">
        <v>820</v>
      </c>
      <c r="AN165" s="1752" t="s">
        <v>773</v>
      </c>
    </row>
    <row r="166" spans="2:42" ht="15" customHeight="1">
      <c r="B166" s="46"/>
      <c r="C166" s="307"/>
      <c r="D166" s="307"/>
      <c r="P166" s="44"/>
      <c r="Q166" s="307"/>
      <c r="AM166" s="1753" t="s">
        <v>724</v>
      </c>
      <c r="AN166" s="1717" t="s">
        <v>775</v>
      </c>
      <c r="AO166" s="23" t="s">
        <v>782</v>
      </c>
      <c r="AP166" s="649" t="s">
        <v>821</v>
      </c>
    </row>
    <row r="167" spans="2:42" ht="15" customHeight="1">
      <c r="B167" s="46"/>
      <c r="C167" s="307"/>
      <c r="D167" s="307"/>
      <c r="P167" s="44"/>
      <c r="Q167" s="307"/>
      <c r="AM167" s="924" t="s">
        <v>2304</v>
      </c>
      <c r="AN167" s="1754">
        <f ca="1">SUM(Financeiros!D9:D14)</f>
        <v>61438.618211552304</v>
      </c>
      <c r="AO167" s="23">
        <f t="shared" ref="AO167:AO207" ca="1" si="8">IF(AN167=0,0,1)</f>
        <v>1</v>
      </c>
      <c r="AP167" s="649"/>
    </row>
    <row r="168" spans="2:42" ht="15" customHeight="1">
      <c r="B168" s="46"/>
      <c r="C168" s="307"/>
      <c r="D168" s="307"/>
      <c r="P168" s="44"/>
      <c r="Q168" s="307"/>
      <c r="AM168" s="924" t="s">
        <v>728</v>
      </c>
      <c r="AN168" s="1754">
        <f ca="1">SUM(Financeiros!D15:D19,D21)</f>
        <v>23342.836797452735</v>
      </c>
      <c r="AO168" s="23">
        <f t="shared" ca="1" si="8"/>
        <v>1</v>
      </c>
      <c r="AP168" s="649"/>
    </row>
    <row r="169" spans="2:42" ht="15" customHeight="1">
      <c r="B169" s="46"/>
      <c r="C169" s="307"/>
      <c r="D169" s="307"/>
      <c r="P169" s="44"/>
      <c r="Q169" s="307"/>
      <c r="AM169" s="927" t="s">
        <v>2102</v>
      </c>
      <c r="AN169" s="928">
        <f ca="1">Financeiros!D20+Financeiros!D22</f>
        <v>0</v>
      </c>
      <c r="AO169" s="23">
        <f t="shared" ca="1" si="8"/>
        <v>0</v>
      </c>
      <c r="AP169" s="649"/>
    </row>
    <row r="170" spans="2:42" ht="15" customHeight="1">
      <c r="B170" s="46"/>
      <c r="C170" s="307"/>
      <c r="D170" s="307"/>
      <c r="P170" s="44"/>
      <c r="Q170" s="307"/>
      <c r="AM170" s="927" t="s">
        <v>2159</v>
      </c>
      <c r="AN170" s="928">
        <f ca="1">Financeiros!D23</f>
        <v>0</v>
      </c>
      <c r="AO170" s="649">
        <f ca="1">IF(AN170=0,0,1)</f>
        <v>0</v>
      </c>
      <c r="AP170" s="649"/>
    </row>
    <row r="171" spans="2:42" ht="15" customHeight="1">
      <c r="B171" s="46"/>
      <c r="C171" s="307"/>
      <c r="D171" s="307"/>
      <c r="P171" s="44"/>
      <c r="Q171" s="307"/>
      <c r="AM171" s="924" t="s">
        <v>2305</v>
      </c>
      <c r="AN171" s="1754">
        <f>SUM(Financeiros!D24:D25)</f>
        <v>0</v>
      </c>
      <c r="AO171" s="23">
        <f t="shared" si="8"/>
        <v>0</v>
      </c>
      <c r="AP171" s="649"/>
    </row>
    <row r="172" spans="2:42" ht="15" customHeight="1">
      <c r="B172" s="46"/>
      <c r="C172" s="307"/>
      <c r="D172" s="307"/>
      <c r="P172" s="44"/>
      <c r="Q172" s="307"/>
      <c r="AM172" s="924"/>
      <c r="AN172" s="1754"/>
      <c r="AO172" s="23">
        <f t="shared" si="8"/>
        <v>0</v>
      </c>
      <c r="AP172" s="649"/>
    </row>
    <row r="173" spans="2:42" ht="15" customHeight="1">
      <c r="B173" s="46"/>
      <c r="C173" s="307"/>
      <c r="D173" s="307"/>
      <c r="P173" s="44"/>
      <c r="Q173" s="307"/>
      <c r="AM173" s="924"/>
      <c r="AN173" s="1754"/>
      <c r="AO173" s="23">
        <f t="shared" si="8"/>
        <v>0</v>
      </c>
      <c r="AP173" s="649"/>
    </row>
    <row r="174" spans="2:42" ht="15" customHeight="1">
      <c r="B174" s="46"/>
      <c r="C174" s="307"/>
      <c r="D174" s="307"/>
      <c r="P174" s="44"/>
      <c r="Q174" s="307"/>
      <c r="AM174" s="924" t="str">
        <f>Financeiros!C26</f>
        <v>Manual de Contabilidade do Setor Elétrico</v>
      </c>
      <c r="AN174" s="1754">
        <f>LnkTxTSubvencaoCDE</f>
        <v>0</v>
      </c>
      <c r="AO174" s="23">
        <f t="shared" si="8"/>
        <v>0</v>
      </c>
      <c r="AP174" s="649"/>
    </row>
    <row r="175" spans="2:42" ht="15" customHeight="1">
      <c r="B175" s="46"/>
      <c r="C175" s="307"/>
      <c r="D175" s="307"/>
      <c r="P175" s="44"/>
      <c r="Q175" s="307"/>
      <c r="AM175" s="924" t="str">
        <f>Financeiros!C27</f>
        <v>Financeiro CDE Eletrobras</v>
      </c>
      <c r="AN175" s="1754">
        <f>LnkTXTBandeira</f>
        <v>0</v>
      </c>
      <c r="AO175" s="23">
        <f t="shared" si="8"/>
        <v>0</v>
      </c>
      <c r="AP175" s="649"/>
    </row>
    <row r="176" spans="2:42" ht="15" customHeight="1">
      <c r="B176" s="46"/>
      <c r="C176" s="307"/>
      <c r="D176" s="307"/>
      <c r="P176" s="44"/>
      <c r="Q176" s="307"/>
      <c r="AM176" s="924" t="s">
        <v>2307</v>
      </c>
      <c r="AN176" s="1754">
        <f>Financeiros!D28</f>
        <v>0</v>
      </c>
      <c r="AO176" s="23">
        <f t="shared" si="8"/>
        <v>0</v>
      </c>
      <c r="AP176" s="649"/>
    </row>
    <row r="177" spans="2:42" ht="15" customHeight="1">
      <c r="B177" s="46"/>
      <c r="C177" s="307"/>
      <c r="D177" s="307"/>
      <c r="P177" s="44"/>
      <c r="Q177" s="307"/>
      <c r="AM177" s="924" t="str">
        <f>Financeiros!C29</f>
        <v>Compensação DIC FIC</v>
      </c>
      <c r="AN177" s="1754">
        <f>Financeiros!D29</f>
        <v>-19756.596540923529</v>
      </c>
      <c r="AO177" s="649">
        <f>IF(AN177=0,0,1)</f>
        <v>1</v>
      </c>
      <c r="AP177" s="649"/>
    </row>
    <row r="178" spans="2:42" ht="15" customHeight="1">
      <c r="B178" s="46"/>
      <c r="C178" s="307"/>
      <c r="D178" s="307"/>
      <c r="P178" s="44"/>
      <c r="Q178" s="307"/>
      <c r="AM178" s="924" t="str">
        <f>Financeiros!C30</f>
        <v>Subvenção CDE</v>
      </c>
      <c r="AN178" s="1754">
        <f ca="1">Financeiros!D30</f>
        <v>-1242268.5927623026</v>
      </c>
      <c r="AO178" s="23">
        <f t="shared" ca="1" si="8"/>
        <v>1</v>
      </c>
      <c r="AP178" s="649"/>
    </row>
    <row r="179" spans="2:42" ht="15" customHeight="1">
      <c r="B179" s="46"/>
      <c r="C179" s="307"/>
      <c r="D179" s="307"/>
      <c r="P179" s="44"/>
      <c r="Q179" s="307"/>
      <c r="AM179" s="924" t="str">
        <f>Financeiros!C31</f>
        <v>Retenção de Adicionais de Bandeiras Tarifárias</v>
      </c>
      <c r="AN179" s="1754">
        <f>Financeiros!D31</f>
        <v>0</v>
      </c>
      <c r="AO179" s="23">
        <f t="shared" si="8"/>
        <v>0</v>
      </c>
      <c r="AP179" s="649"/>
    </row>
    <row r="180" spans="2:42" ht="15" customHeight="1">
      <c r="B180" s="46"/>
      <c r="C180" s="307"/>
      <c r="D180" s="307"/>
      <c r="P180" s="44"/>
      <c r="Q180" s="307"/>
      <c r="AM180" s="924" t="str">
        <f>Financeiros!C32</f>
        <v>Multa LPT</v>
      </c>
      <c r="AN180" s="1754">
        <f>Financeiros!D32</f>
        <v>0</v>
      </c>
      <c r="AO180" s="1560">
        <f>IF(AN180=0,0,1)</f>
        <v>0</v>
      </c>
      <c r="AP180" s="1560"/>
    </row>
    <row r="181" spans="2:42" ht="15" customHeight="1">
      <c r="B181" s="46"/>
      <c r="C181" s="307"/>
      <c r="D181" s="307"/>
      <c r="P181" s="44"/>
      <c r="Q181" s="307"/>
      <c r="AM181" s="924" t="s">
        <v>2385</v>
      </c>
      <c r="AN181" s="1754">
        <f>Financeiros!D33+Financeiros!D34</f>
        <v>0</v>
      </c>
      <c r="AO181" s="23">
        <f t="shared" si="8"/>
        <v>0</v>
      </c>
      <c r="AP181" s="649"/>
    </row>
    <row r="182" spans="2:42" ht="15" customHeight="1">
      <c r="B182" s="46"/>
      <c r="C182" s="307"/>
      <c r="D182" s="307"/>
      <c r="P182" s="44"/>
      <c r="Q182" s="307"/>
      <c r="AM182" s="924"/>
      <c r="AN182" s="1754"/>
      <c r="AO182" s="23">
        <f t="shared" si="8"/>
        <v>0</v>
      </c>
      <c r="AP182" s="649"/>
    </row>
    <row r="183" spans="2:42" ht="15" customHeight="1">
      <c r="B183" s="46"/>
      <c r="C183" s="307"/>
      <c r="D183" s="307"/>
      <c r="P183" s="44"/>
      <c r="Q183" s="307"/>
      <c r="AM183" s="924" t="str">
        <f>Financeiros!C35</f>
        <v>Ressarcimento P&amp;D</v>
      </c>
      <c r="AN183" s="1754">
        <f>Financeiros!D35</f>
        <v>0</v>
      </c>
      <c r="AO183" s="23">
        <f t="shared" si="8"/>
        <v>0</v>
      </c>
      <c r="AP183" s="649"/>
    </row>
    <row r="184" spans="2:42" ht="15" customHeight="1">
      <c r="B184" s="46"/>
      <c r="C184" s="307"/>
      <c r="D184" s="307"/>
      <c r="P184" s="44"/>
      <c r="Q184" s="307"/>
      <c r="AM184" s="924" t="str">
        <f>Financeiros!C36</f>
        <v>Efeito Conta COVID</v>
      </c>
      <c r="AN184" s="1754">
        <f>Financeiros!D36</f>
        <v>0</v>
      </c>
      <c r="AO184" s="23">
        <f t="shared" ref="AO184:AO189" si="9">IF(AN184=0,0,1)</f>
        <v>0</v>
      </c>
      <c r="AP184" s="649"/>
    </row>
    <row r="185" spans="2:42" ht="15" customHeight="1">
      <c r="B185" s="46"/>
      <c r="C185" s="307"/>
      <c r="D185" s="307"/>
      <c r="P185" s="44"/>
      <c r="Q185" s="307"/>
      <c r="AM185" s="924" t="str">
        <f>Financeiros!C37</f>
        <v>Diferimento de Parcela B</v>
      </c>
      <c r="AN185" s="1754">
        <f>Financeiros!D37</f>
        <v>0</v>
      </c>
      <c r="AO185" s="23">
        <f t="shared" si="9"/>
        <v>0</v>
      </c>
      <c r="AP185" s="649"/>
    </row>
    <row r="186" spans="2:42" ht="15" customHeight="1">
      <c r="B186" s="46"/>
      <c r="C186" s="307"/>
      <c r="D186" s="307"/>
      <c r="P186" s="44"/>
      <c r="Q186" s="307"/>
      <c r="AM186" s="924" t="str">
        <f>Financeiros!C38</f>
        <v>Efeito COVID da Supridora</v>
      </c>
      <c r="AN186" s="1754">
        <f>Financeiros!D38</f>
        <v>0</v>
      </c>
      <c r="AO186" s="23">
        <f t="shared" si="9"/>
        <v>0</v>
      </c>
      <c r="AP186" s="649"/>
    </row>
    <row r="187" spans="2:42" ht="15" customHeight="1">
      <c r="B187" s="46"/>
      <c r="C187" s="307"/>
      <c r="D187" s="307"/>
      <c r="P187" s="44"/>
      <c r="Q187" s="307"/>
      <c r="AM187" s="924" t="str">
        <f>Financeiros!C39</f>
        <v>Crédito de Pis Cofins sobre ICMS</v>
      </c>
      <c r="AN187" s="1754">
        <f>Financeiros!D39</f>
        <v>0</v>
      </c>
      <c r="AO187" s="23">
        <f t="shared" si="9"/>
        <v>0</v>
      </c>
      <c r="AP187" s="649"/>
    </row>
    <row r="188" spans="2:42" ht="15" customHeight="1">
      <c r="B188" s="46"/>
      <c r="C188" s="307"/>
      <c r="D188" s="307"/>
      <c r="P188" s="44"/>
      <c r="Q188" s="307"/>
      <c r="AM188" s="924" t="s">
        <v>2386</v>
      </c>
      <c r="AN188" s="1754">
        <f ca="1">Financeiros!D40+Financeiros!D41</f>
        <v>-61438.618211552297</v>
      </c>
      <c r="AO188" s="23">
        <f t="shared" ca="1" si="9"/>
        <v>1</v>
      </c>
      <c r="AP188" s="915"/>
    </row>
    <row r="189" spans="2:42" ht="15" customHeight="1">
      <c r="B189" s="46"/>
      <c r="C189" s="307"/>
      <c r="D189" s="307"/>
      <c r="P189" s="44"/>
      <c r="Q189" s="307"/>
      <c r="AM189" s="924"/>
      <c r="AN189" s="1754"/>
      <c r="AO189" s="23">
        <f t="shared" si="9"/>
        <v>0</v>
      </c>
      <c r="AP189" s="915"/>
    </row>
    <row r="190" spans="2:42" ht="15" customHeight="1">
      <c r="B190" s="46"/>
      <c r="C190" s="307"/>
      <c r="D190" s="307"/>
      <c r="P190" s="44"/>
      <c r="Q190" s="307"/>
      <c r="AM190" s="924" t="str">
        <f>Financeiros!C42</f>
        <v>Financeiros associados ao §7º do Art. 88 da Ren 414/2021</v>
      </c>
      <c r="AN190" s="1754">
        <f>Financeiros!D42</f>
        <v>0</v>
      </c>
      <c r="AO190" s="23">
        <f t="shared" si="8"/>
        <v>0</v>
      </c>
      <c r="AP190" s="649"/>
    </row>
    <row r="191" spans="2:42" ht="15" customHeight="1">
      <c r="B191" s="46"/>
      <c r="C191" s="307"/>
      <c r="D191" s="307"/>
      <c r="P191" s="44"/>
      <c r="Q191" s="307"/>
      <c r="AM191" s="924" t="str">
        <f>Financeiros!C43</f>
        <v>Spread Conta Covid</v>
      </c>
      <c r="AN191" s="1754">
        <f>Financeiros!D43</f>
        <v>0</v>
      </c>
      <c r="AO191" s="23">
        <f t="shared" si="8"/>
        <v>0</v>
      </c>
      <c r="AP191" s="649"/>
    </row>
    <row r="192" spans="2:42" ht="15" customHeight="1">
      <c r="B192" s="46"/>
      <c r="C192" s="307"/>
      <c r="D192" s="307"/>
      <c r="P192" s="44"/>
      <c r="Q192" s="307"/>
      <c r="AM192" s="924" t="str">
        <f>Financeiros!C44</f>
        <v>Diferimento de Energia</v>
      </c>
      <c r="AN192" s="1754">
        <f>Financeiros!D44</f>
        <v>0</v>
      </c>
      <c r="AO192" s="23">
        <f>IF(AN192=0,0,1)</f>
        <v>0</v>
      </c>
      <c r="AP192" s="649"/>
    </row>
    <row r="193" spans="2:42" ht="15" customHeight="1">
      <c r="B193" s="46"/>
      <c r="C193" s="307"/>
      <c r="D193" s="307"/>
      <c r="P193" s="44"/>
      <c r="Q193" s="307"/>
      <c r="AM193" s="924" t="str">
        <f>Financeiros!C45</f>
        <v xml:space="preserve">Reversão do Diferimento de Compra de Energia </v>
      </c>
      <c r="AN193" s="1754">
        <f>Financeiros!D45</f>
        <v>0</v>
      </c>
      <c r="AO193" s="23">
        <f t="shared" ref="AO193:AO195" si="10">IF(AN193=0,0,1)</f>
        <v>0</v>
      </c>
      <c r="AP193" s="649"/>
    </row>
    <row r="194" spans="2:42" ht="15" customHeight="1">
      <c r="B194" s="46"/>
      <c r="C194" s="307"/>
      <c r="D194" s="307"/>
      <c r="P194" s="44"/>
      <c r="Q194" s="307"/>
      <c r="AM194" s="924" t="str">
        <f>Financeiros!C46</f>
        <v>Reversão do Diferimento de Parcela B</v>
      </c>
      <c r="AN194" s="1754">
        <f>Financeiros!D46</f>
        <v>0</v>
      </c>
      <c r="AO194" s="23">
        <f t="shared" si="10"/>
        <v>0</v>
      </c>
      <c r="AP194" s="649"/>
    </row>
    <row r="195" spans="2:42" ht="15" customHeight="1">
      <c r="B195" s="46"/>
      <c r="C195" s="307"/>
      <c r="D195" s="307"/>
      <c r="P195" s="44"/>
      <c r="Q195" s="307"/>
      <c r="AM195" s="924" t="s">
        <v>2391</v>
      </c>
      <c r="AN195" s="1754">
        <f>Financeiros!D47+Financeiros!D48</f>
        <v>161818.51978759293</v>
      </c>
      <c r="AO195" s="23">
        <f t="shared" si="10"/>
        <v>1</v>
      </c>
      <c r="AP195" s="649"/>
    </row>
    <row r="196" spans="2:42" ht="15" customHeight="1">
      <c r="B196" s="46"/>
      <c r="C196" s="307"/>
      <c r="D196" s="307"/>
      <c r="P196" s="44"/>
      <c r="Q196" s="307"/>
      <c r="AM196" s="924"/>
      <c r="AN196" s="1754"/>
      <c r="AO196" s="649">
        <f>IF(AN196=0,0,1)</f>
        <v>0</v>
      </c>
      <c r="AP196" s="649"/>
    </row>
    <row r="197" spans="2:42" ht="15" customHeight="1">
      <c r="B197" s="46"/>
      <c r="C197" s="307"/>
      <c r="D197" s="307"/>
      <c r="P197" s="44"/>
      <c r="Q197" s="307"/>
      <c r="AM197" s="924" t="s">
        <v>2308</v>
      </c>
      <c r="AN197" s="1754">
        <f ca="1">SUM(Financeiros!D58:D62)</f>
        <v>-58703.927799999998</v>
      </c>
      <c r="AO197" s="23">
        <f ca="1">IF(AN197=0,0,1)</f>
        <v>1</v>
      </c>
      <c r="AP197" s="649"/>
    </row>
    <row r="198" spans="2:42" ht="15" customHeight="1">
      <c r="B198" s="46"/>
      <c r="C198" s="307"/>
      <c r="D198" s="307"/>
      <c r="P198" s="44"/>
      <c r="Q198" s="307"/>
      <c r="AM198" s="924" t="s">
        <v>2309</v>
      </c>
      <c r="AN198" s="1754">
        <f>Financeiros!D65</f>
        <v>60497.069499999998</v>
      </c>
      <c r="AO198" s="23">
        <f>IF(AN198=0,0,1)</f>
        <v>1</v>
      </c>
      <c r="AP198" s="649"/>
    </row>
    <row r="199" spans="2:42" ht="15" customHeight="1">
      <c r="B199" s="46"/>
      <c r="C199" s="307"/>
      <c r="D199" s="307"/>
      <c r="P199" s="44"/>
      <c r="Q199" s="307"/>
      <c r="AM199" s="924" t="s">
        <v>2059</v>
      </c>
      <c r="AN199" s="1754">
        <f ca="1">SUM(Financeiros!D66:D76)</f>
        <v>-45482.544057402913</v>
      </c>
      <c r="AO199" s="649">
        <f t="shared" ref="AO199:AO206" ca="1" si="11">IF(AN199=0,0,1)</f>
        <v>1</v>
      </c>
      <c r="AP199" s="649"/>
    </row>
    <row r="200" spans="2:42" ht="15" customHeight="1">
      <c r="B200" s="46"/>
      <c r="C200" s="307"/>
      <c r="D200" s="307"/>
      <c r="P200" s="44"/>
      <c r="Q200" s="307"/>
      <c r="AM200" s="924"/>
      <c r="AN200" s="1754"/>
      <c r="AO200" s="649">
        <f t="shared" si="11"/>
        <v>0</v>
      </c>
      <c r="AP200" s="649"/>
    </row>
    <row r="201" spans="2:42" ht="15" customHeight="1">
      <c r="B201" s="46"/>
      <c r="C201" s="307"/>
      <c r="D201" s="307"/>
      <c r="P201" s="44"/>
      <c r="Q201" s="307"/>
      <c r="AM201" s="924"/>
      <c r="AN201" s="1754"/>
      <c r="AO201" s="649">
        <f t="shared" si="11"/>
        <v>0</v>
      </c>
      <c r="AP201" s="649"/>
    </row>
    <row r="202" spans="2:42" ht="15" customHeight="1">
      <c r="B202" s="46"/>
      <c r="C202" s="307"/>
      <c r="D202" s="307"/>
      <c r="P202" s="44"/>
      <c r="Q202" s="307"/>
      <c r="AM202" s="924" t="s">
        <v>2311</v>
      </c>
      <c r="AN202" s="1754">
        <f ca="1">SUM(Financeiros!D77:D81)</f>
        <v>-737.77549999999985</v>
      </c>
      <c r="AO202" s="649">
        <f ca="1">IF(AN202=0,0,1)</f>
        <v>1</v>
      </c>
      <c r="AP202" s="649"/>
    </row>
    <row r="203" spans="2:42" ht="15" customHeight="1">
      <c r="B203" s="46"/>
      <c r="C203" s="307"/>
      <c r="D203" s="307"/>
      <c r="P203" s="44"/>
      <c r="Q203" s="307"/>
      <c r="AM203" s="924" t="s">
        <v>1307</v>
      </c>
      <c r="AN203" s="1754">
        <f ca="1">SUM(Financeiros!D82:D86)</f>
        <v>-123230.44921488343</v>
      </c>
      <c r="AO203" s="649">
        <f ca="1">IF(AN203=0,0,1)</f>
        <v>1</v>
      </c>
      <c r="AP203" s="649"/>
    </row>
    <row r="204" spans="2:42" ht="15" customHeight="1">
      <c r="B204" s="46"/>
      <c r="C204" s="307"/>
      <c r="D204" s="307"/>
      <c r="P204" s="44"/>
      <c r="Q204" s="307"/>
      <c r="AM204" s="924" t="s">
        <v>2310</v>
      </c>
      <c r="AN204" s="1754">
        <f ca="1">SUM(Financeiros!D87:D91)</f>
        <v>148258.43931250859</v>
      </c>
      <c r="AO204" s="649">
        <f t="shared" ca="1" si="11"/>
        <v>1</v>
      </c>
      <c r="AP204" s="649"/>
    </row>
    <row r="205" spans="2:42" ht="15" customHeight="1">
      <c r="B205" s="46"/>
      <c r="C205" s="307"/>
      <c r="D205" s="307"/>
      <c r="P205" s="44"/>
      <c r="Q205" s="307"/>
      <c r="AM205" s="924" t="s">
        <v>2396</v>
      </c>
      <c r="AN205" s="1754">
        <f>SUM(Financeiros!D92:D96)</f>
        <v>0</v>
      </c>
      <c r="AO205" s="649">
        <f t="shared" si="11"/>
        <v>0</v>
      </c>
      <c r="AP205" s="649"/>
    </row>
    <row r="206" spans="2:42" ht="15" customHeight="1">
      <c r="B206" s="46"/>
      <c r="C206" s="307"/>
      <c r="D206" s="307"/>
      <c r="P206" s="44"/>
      <c r="Q206" s="307"/>
      <c r="AM206" s="924" t="s">
        <v>2395</v>
      </c>
      <c r="AN206" s="1754">
        <f>Financeiros!D97</f>
        <v>-300000</v>
      </c>
      <c r="AO206" s="649">
        <f t="shared" si="11"/>
        <v>1</v>
      </c>
      <c r="AP206" s="649"/>
    </row>
    <row r="207" spans="2:42" ht="15" customHeight="1">
      <c r="B207" s="46"/>
      <c r="C207" s="307"/>
      <c r="D207" s="307"/>
      <c r="P207" s="44"/>
      <c r="Q207" s="307"/>
      <c r="AM207" s="924"/>
      <c r="AN207" s="1754"/>
      <c r="AO207" s="23">
        <f t="shared" si="8"/>
        <v>0</v>
      </c>
      <c r="AP207" s="649"/>
    </row>
    <row r="208" spans="2:42" ht="15" customHeight="1">
      <c r="B208" s="46"/>
      <c r="C208" s="307"/>
      <c r="D208" s="307"/>
      <c r="P208" s="44"/>
      <c r="Q208" s="307"/>
      <c r="AM208" s="1718" t="s">
        <v>727</v>
      </c>
      <c r="AN208" s="1117">
        <f ca="1">SUM(AN167:AN207)</f>
        <v>-1396263.0204779583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4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2" t="s">
        <v>823</v>
      </c>
      <c r="AQ212" s="1064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5.5563017771457668E-2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0.15117637497720193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9" t="s">
        <v>827</v>
      </c>
      <c r="AQ215" s="1075">
        <f>LnkTXTEfeito</f>
        <v>0.10445708587895863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4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7" t="s">
        <v>829</v>
      </c>
      <c r="AT218" s="917" t="s">
        <v>793</v>
      </c>
      <c r="AU218" s="917" t="s">
        <v>830</v>
      </c>
      <c r="AV218" s="917" t="s">
        <v>831</v>
      </c>
      <c r="AW218" s="917" t="s">
        <v>832</v>
      </c>
      <c r="AX218" s="917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6" t="s">
        <v>834</v>
      </c>
      <c r="AT219" s="1097">
        <f ca="1">SUM(AT220:AT229)</f>
        <v>673493.11611311208</v>
      </c>
      <c r="AU219" s="1097">
        <f ca="1">SUM(AU220:AU229)</f>
        <v>1032297.9562273542</v>
      </c>
      <c r="AV219" s="1098">
        <f ca="1">IF(AU219=0,0,ROUND(AU219/AT219-1,4))</f>
        <v>0.53280000000000005</v>
      </c>
      <c r="AW219" s="1098">
        <f ca="1">SUM(AW220:AW229)</f>
        <v>6.7777071466531891E-2</v>
      </c>
      <c r="AX219" s="1098">
        <f t="shared" ref="AX219:AX224" ca="1" si="12">AU219/$AU$237</f>
        <v>0.17466095837941339</v>
      </c>
      <c r="AY219" s="318">
        <v>1</v>
      </c>
    </row>
    <row r="220" spans="2:54" ht="15" hidden="1" customHeight="1">
      <c r="AS220" s="918" t="str">
        <f t="shared" ref="AS220:AT223" si="13">I75</f>
        <v>Reserva Global de Reversão – RGR</v>
      </c>
      <c r="AT220" s="919">
        <f t="shared" si="13"/>
        <v>0</v>
      </c>
      <c r="AU220" s="919">
        <f>Resultado!D15</f>
        <v>0</v>
      </c>
      <c r="AV220" s="920">
        <f t="shared" ref="AV220:AV235" si="14">IF(AU220=0,0,ROUND(AU220/AT220-1,3))</f>
        <v>0</v>
      </c>
      <c r="AW220" s="920">
        <f t="shared" ref="AW220:AW229" ca="1" si="15">(AU220-AT220)/$AT$237</f>
        <v>0</v>
      </c>
      <c r="AX220" s="920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8" t="str">
        <f t="shared" si="13"/>
        <v>Conta de Consumo de Combustíveis – CCC</v>
      </c>
      <c r="AT221" s="919">
        <f t="shared" si="13"/>
        <v>0</v>
      </c>
      <c r="AU221" s="919">
        <f>Resultado!D16</f>
        <v>0</v>
      </c>
      <c r="AV221" s="920">
        <f t="shared" si="14"/>
        <v>0</v>
      </c>
      <c r="AW221" s="920">
        <f t="shared" ca="1" si="15"/>
        <v>0</v>
      </c>
      <c r="AX221" s="920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8" t="str">
        <f t="shared" si="13"/>
        <v>Taxa de Fisc. de Serviços de E.E. – TFSEE</v>
      </c>
      <c r="AT222" s="919">
        <f t="shared" ca="1" si="13"/>
        <v>7866.529803671041</v>
      </c>
      <c r="AU222" s="919">
        <f ca="1">Resultado!D17</f>
        <v>9837.212867354101</v>
      </c>
      <c r="AV222" s="920">
        <f ca="1">IF(AU222=0,0,ROUND(AU222/AT222-1,4))</f>
        <v>0.2505</v>
      </c>
      <c r="AW222" s="920">
        <f t="shared" ca="1" si="15"/>
        <v>3.7225564405040778E-4</v>
      </c>
      <c r="AX222" s="920">
        <f t="shared" ca="1" si="12"/>
        <v>1.6644196734377256E-3</v>
      </c>
      <c r="AY222" s="318">
        <f t="shared" ca="1" si="16"/>
        <v>1</v>
      </c>
    </row>
    <row r="223" spans="2:54" ht="15" customHeight="1">
      <c r="C223" s="28"/>
      <c r="H223" s="23"/>
      <c r="AP223" s="23" t="s">
        <v>743</v>
      </c>
      <c r="AQ223" s="1780">
        <v>6.7826709309017588E-2</v>
      </c>
      <c r="AS223" s="918" t="str">
        <f t="shared" si="13"/>
        <v>Conta de Desenvolvimento Energético – CDE</v>
      </c>
      <c r="AT223" s="919">
        <f t="shared" ca="1" si="13"/>
        <v>530642.62100121856</v>
      </c>
      <c r="AU223" s="919">
        <f ca="1">Encargos!I19</f>
        <v>774127.16399000003</v>
      </c>
      <c r="AV223" s="920">
        <f t="shared" ref="AV223" ca="1" si="17">IF(AU223=0,0,ROUND(AU223/AT223-1,4))</f>
        <v>0.45879999999999999</v>
      </c>
      <c r="AW223" s="920">
        <f t="shared" ca="1" si="15"/>
        <v>4.5993441074797407E-2</v>
      </c>
      <c r="AX223" s="920">
        <f t="shared" ca="1" si="12"/>
        <v>0.13097942464612611</v>
      </c>
      <c r="AY223" s="318">
        <f t="shared" ca="1" si="16"/>
        <v>1</v>
      </c>
    </row>
    <row r="224" spans="2:54" ht="15" hidden="1" customHeight="1">
      <c r="C224" s="28"/>
      <c r="H224" s="23"/>
      <c r="AP224" s="23" t="s">
        <v>717</v>
      </c>
      <c r="AQ224" s="1780">
        <v>-2.666250552623292E-3</v>
      </c>
      <c r="AS224" s="918" t="s">
        <v>835</v>
      </c>
      <c r="AT224" s="919">
        <f ca="1">J79</f>
        <v>0</v>
      </c>
      <c r="AU224" s="919">
        <f>Encargos!I20</f>
        <v>0</v>
      </c>
      <c r="AV224" s="920">
        <f>IFERROR(IF(AU224=0,0,ROUND(AU224/AT224-1,4)),0)</f>
        <v>0</v>
      </c>
      <c r="AW224" s="920">
        <f t="shared" ca="1" si="15"/>
        <v>0</v>
      </c>
      <c r="AX224" s="920">
        <f t="shared" ca="1" si="12"/>
        <v>0</v>
      </c>
      <c r="AY224" s="318">
        <f t="shared" ca="1" si="16"/>
        <v>0</v>
      </c>
    </row>
    <row r="225" spans="2:51" ht="15" customHeight="1">
      <c r="C225" s="28"/>
      <c r="H225" s="23"/>
      <c r="AP225" s="23" t="s">
        <v>749</v>
      </c>
      <c r="AQ225" s="1780">
        <v>-5.187918646768256E-2</v>
      </c>
      <c r="AS225" s="918" t="s">
        <v>2072</v>
      </c>
      <c r="AT225" s="919"/>
      <c r="AU225" s="919">
        <f>Encargos!I21</f>
        <v>-142407.21</v>
      </c>
      <c r="AV225" s="920">
        <f t="shared" ref="AV225:AV226" si="18">IFERROR(IF(AU225=0,0,ROUND(AU225/AT225-1,4)),0)</f>
        <v>0</v>
      </c>
      <c r="AW225" s="920">
        <f t="shared" ca="1" si="15"/>
        <v>-2.6900260449235502E-2</v>
      </c>
      <c r="AX225" s="920">
        <f t="shared" ref="AX225" ca="1" si="19">AU225/$AU$237</f>
        <v>-2.4094768016047815E-2</v>
      </c>
      <c r="AY225" s="913">
        <f ca="1">IF(AW225=0,0,1)</f>
        <v>1</v>
      </c>
    </row>
    <row r="226" spans="2:51" ht="12.75">
      <c r="C226" s="28"/>
      <c r="H226" s="23"/>
      <c r="AP226" s="23" t="s">
        <v>752</v>
      </c>
      <c r="AQ226" s="1780">
        <v>0.10814805718471604</v>
      </c>
      <c r="AS226" s="918" t="str">
        <f t="shared" ref="AS226:AT229" si="20">I81</f>
        <v>Encargos Serv. Sist. - ESS e Energ. Reserv. – EER</v>
      </c>
      <c r="AT226" s="919">
        <f t="shared" ca="1" si="20"/>
        <v>47032.909666828491</v>
      </c>
      <c r="AU226" s="919">
        <f>Resultado!D20</f>
        <v>257354.31</v>
      </c>
      <c r="AV226" s="920">
        <f t="shared" ca="1" si="18"/>
        <v>4.4718</v>
      </c>
      <c r="AW226" s="920">
        <f t="shared" ca="1" si="15"/>
        <v>3.9729030903774047E-2</v>
      </c>
      <c r="AX226" s="920">
        <f t="shared" ref="AX226:AX239" ca="1" si="21">AU226/$AU$237</f>
        <v>4.3543387988431582E-2</v>
      </c>
      <c r="AY226" s="318">
        <f ca="1">IF(AW226=0,0,1)</f>
        <v>1</v>
      </c>
    </row>
    <row r="227" spans="2:51" ht="15" customHeight="1">
      <c r="C227" s="28"/>
      <c r="H227" s="23"/>
      <c r="AP227" s="23" t="s">
        <v>724</v>
      </c>
      <c r="AQ227" s="1780">
        <v>-0.2387</v>
      </c>
      <c r="AS227" s="918" t="str">
        <f t="shared" si="20"/>
        <v>PROINFA</v>
      </c>
      <c r="AT227" s="919">
        <f t="shared" ca="1" si="20"/>
        <v>87951.055641393963</v>
      </c>
      <c r="AU227" s="919">
        <f ca="1">Resultado!D21</f>
        <v>133386.47937000002</v>
      </c>
      <c r="AV227" s="920">
        <f ca="1">IF(AU227=0,0,ROUND(AU227/AT227-1,4))</f>
        <v>0.51659999999999995</v>
      </c>
      <c r="AW227" s="920">
        <f t="shared" ca="1" si="15"/>
        <v>8.5826042931455345E-3</v>
      </c>
      <c r="AX227" s="920">
        <f t="shared" ca="1" si="21"/>
        <v>2.2568494087465783E-2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P228" s="23" t="s">
        <v>754</v>
      </c>
      <c r="AQ228" s="1779">
        <v>0.28810000000000002</v>
      </c>
      <c r="AS228" s="918" t="str">
        <f t="shared" si="20"/>
        <v>P&amp;D e Eficiência Energética</v>
      </c>
      <c r="AT228" s="919">
        <f t="shared" ca="1" si="20"/>
        <v>0</v>
      </c>
      <c r="AU228" s="919">
        <f>Resultado!D22</f>
        <v>0</v>
      </c>
      <c r="AV228" s="920">
        <f>IF(AU228=0,0,ROUND(AU228/AT228-1,4))</f>
        <v>0</v>
      </c>
      <c r="AW228" s="920">
        <f t="shared" ca="1" si="15"/>
        <v>0</v>
      </c>
      <c r="AX228" s="920">
        <f t="shared" ca="1" si="21"/>
        <v>0</v>
      </c>
      <c r="AY228" s="318">
        <v>0</v>
      </c>
    </row>
    <row r="229" spans="2:51" ht="15" hidden="1" customHeight="1">
      <c r="C229" s="340"/>
      <c r="H229" s="23"/>
      <c r="AP229" s="23" t="s">
        <v>757</v>
      </c>
      <c r="AQ229" s="1779">
        <v>0.14378979430373784</v>
      </c>
      <c r="AS229" s="918" t="str">
        <f t="shared" si="20"/>
        <v>ONS</v>
      </c>
      <c r="AT229" s="919">
        <f t="shared" ca="1" si="20"/>
        <v>0</v>
      </c>
      <c r="AU229" s="919">
        <f>Resultado!D23</f>
        <v>0</v>
      </c>
      <c r="AV229" s="920">
        <f t="shared" si="14"/>
        <v>0</v>
      </c>
      <c r="AW229" s="920">
        <f t="shared" ca="1" si="15"/>
        <v>0</v>
      </c>
      <c r="AX229" s="920">
        <f t="shared" ca="1" si="21"/>
        <v>0</v>
      </c>
      <c r="AY229" s="318">
        <v>0</v>
      </c>
    </row>
    <row r="230" spans="2:51" ht="15" customHeight="1">
      <c r="C230" s="307"/>
      <c r="H230" s="23"/>
      <c r="AS230" s="1096" t="s">
        <v>836</v>
      </c>
      <c r="AT230" s="1097">
        <f ca="1">AT231</f>
        <v>2031904.167979738</v>
      </c>
      <c r="AU230" s="1097">
        <f ca="1">AU231</f>
        <v>1744524.9715553098</v>
      </c>
      <c r="AV230" s="1098">
        <f ca="1">IF(AU230=0,0,ROUND(AU230/AT230-1,4))</f>
        <v>-0.1414</v>
      </c>
      <c r="AW230" s="1098">
        <f ca="1">AW231</f>
        <v>-5.4284998853001372E-2</v>
      </c>
      <c r="AX230" s="1098">
        <f t="shared" ca="1" si="21"/>
        <v>0.2951671090798535</v>
      </c>
      <c r="AY230" s="318">
        <f t="shared" ca="1" si="16"/>
        <v>1</v>
      </c>
    </row>
    <row r="231" spans="2:51" ht="15" customHeight="1">
      <c r="C231" s="307"/>
      <c r="H231" s="23"/>
      <c r="AS231" s="918" t="s">
        <v>796</v>
      </c>
      <c r="AT231" s="919">
        <f ca="1">J86</f>
        <v>2031904.167979738</v>
      </c>
      <c r="AU231" s="919">
        <f ca="1">Resultado!D33</f>
        <v>1744524.9715553098</v>
      </c>
      <c r="AV231" s="920">
        <f ca="1">IF(AU231=0,0,ROUND(AU231/AT231-1,4))</f>
        <v>-0.1414</v>
      </c>
      <c r="AW231" s="920">
        <f ca="1">(AU231-AT231)/$AT$237</f>
        <v>-5.4284998853001372E-2</v>
      </c>
      <c r="AX231" s="920">
        <f t="shared" ca="1" si="21"/>
        <v>0.2951671090798535</v>
      </c>
      <c r="AY231" s="318">
        <f t="shared" ca="1" si="16"/>
        <v>1</v>
      </c>
    </row>
    <row r="232" spans="2:51" ht="15" customHeight="1">
      <c r="AS232" s="1096" t="s">
        <v>837</v>
      </c>
      <c r="AT232" s="1097">
        <f ca="1">SUM(AT233:AT236)</f>
        <v>750046.36106290016</v>
      </c>
      <c r="AU232" s="1097">
        <f>SUM(AU233:AU236)</f>
        <v>733473.02962819999</v>
      </c>
      <c r="AV232" s="1098">
        <f ca="1">IF(AU232=0,0,ROUND(AU232/AT232-1,4))</f>
        <v>-2.2100000000000002E-2</v>
      </c>
      <c r="AW232" s="1098">
        <f ca="1">SUM(AW233:AW236)</f>
        <v>-3.130648596408402E-3</v>
      </c>
      <c r="AX232" s="1098">
        <f t="shared" ca="1" si="21"/>
        <v>0.12410089696244485</v>
      </c>
      <c r="AY232" s="318">
        <f t="shared" ca="1" si="16"/>
        <v>1</v>
      </c>
    </row>
    <row r="233" spans="2:51" ht="15" hidden="1" customHeight="1">
      <c r="AS233" s="918" t="str">
        <f>Resultado!B25</f>
        <v>Rede Básica</v>
      </c>
      <c r="AT233" s="919">
        <f ca="1">J88</f>
        <v>0</v>
      </c>
      <c r="AU233" s="919">
        <f>Resultado!D25</f>
        <v>0</v>
      </c>
      <c r="AV233" s="920">
        <f>IF(AU233=0,0,ROUND(AU233/AT233-1,3))</f>
        <v>0</v>
      </c>
      <c r="AW233" s="920">
        <f ca="1">(AU233-AT233)/$AT$237</f>
        <v>0</v>
      </c>
      <c r="AX233" s="920">
        <f t="shared" ca="1" si="21"/>
        <v>0</v>
      </c>
      <c r="AY233" s="318">
        <f t="shared" ca="1" si="16"/>
        <v>0</v>
      </c>
    </row>
    <row r="234" spans="2:51" ht="15" hidden="1" customHeight="1">
      <c r="AS234" s="918" t="str">
        <f>Resultado!B26</f>
        <v>Rede Básica Fronteira</v>
      </c>
      <c r="AT234" s="919">
        <f ca="1">J89</f>
        <v>0</v>
      </c>
      <c r="AU234" s="919">
        <f>Resultado!D26</f>
        <v>0</v>
      </c>
      <c r="AV234" s="920">
        <f t="shared" si="14"/>
        <v>0</v>
      </c>
      <c r="AW234" s="920">
        <f ca="1">(AU234-AT234)/$AT$237</f>
        <v>0</v>
      </c>
      <c r="AX234" s="920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18" t="str">
        <f>Resultado!B31</f>
        <v>Conexão</v>
      </c>
      <c r="AT235" s="919">
        <f ca="1">J94</f>
        <v>0</v>
      </c>
      <c r="AU235" s="919">
        <f>Resultado!D31</f>
        <v>0</v>
      </c>
      <c r="AV235" s="920">
        <f t="shared" si="14"/>
        <v>0</v>
      </c>
      <c r="AW235" s="920">
        <f ca="1">(AU235-AT235)/$AT$237</f>
        <v>0</v>
      </c>
      <c r="AX235" s="920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18" t="str">
        <f>Resultado!B32</f>
        <v>Uso do sistema de distribuição</v>
      </c>
      <c r="AT236" s="919">
        <f ca="1">J95</f>
        <v>750046.36106290016</v>
      </c>
      <c r="AU236" s="919">
        <f>Resultado!D32</f>
        <v>733473.02962819999</v>
      </c>
      <c r="AV236" s="920">
        <f ca="1">IF(AU236=0,0,ROUND(AU236/AT236-1,4))</f>
        <v>-2.2100000000000002E-2</v>
      </c>
      <c r="AW236" s="920">
        <f ca="1">(AU236-AT236)/$AT$237</f>
        <v>-3.130648596408402E-3</v>
      </c>
      <c r="AX236" s="920">
        <f t="shared" ca="1" si="21"/>
        <v>0.12410089696244485</v>
      </c>
      <c r="AY236" s="318">
        <f t="shared" ca="1" si="16"/>
        <v>1</v>
      </c>
    </row>
    <row r="237" spans="2:51" ht="15" hidden="1" customHeight="1">
      <c r="C237" s="19"/>
      <c r="AS237" s="1096" t="s">
        <v>838</v>
      </c>
      <c r="AT237" s="1097">
        <f ca="1">Mercado_RA0_Reais</f>
        <v>5293897.0709500015</v>
      </c>
      <c r="AU237" s="1097">
        <f ca="1">AU219+AU230+AU232+AU239</f>
        <v>5910295.9574108645</v>
      </c>
      <c r="AV237" s="1099"/>
      <c r="AW237" s="1099"/>
      <c r="AX237" s="1098">
        <f t="shared" ca="1" si="21"/>
        <v>1</v>
      </c>
      <c r="AY237" s="318">
        <f t="shared" si="16"/>
        <v>0</v>
      </c>
    </row>
    <row r="238" spans="2:51" ht="15" customHeight="1">
      <c r="C238" s="19"/>
      <c r="AS238" s="1100" t="s">
        <v>839</v>
      </c>
      <c r="AT238" s="1101">
        <f ca="1">AT219+AT230+AT232</f>
        <v>3455443.6451557502</v>
      </c>
      <c r="AU238" s="1101">
        <f ca="1">AU219+AU230+AU232</f>
        <v>3510295.9574108641</v>
      </c>
      <c r="AV238" s="1102">
        <f ca="1">IF(AU238=0,0,ROUND(AU238/AT238-1,4))</f>
        <v>1.5900000000000001E-2</v>
      </c>
      <c r="AW238" s="1102">
        <f ca="1">(AU238-AT238)/AT237</f>
        <v>1.0361424017122131E-2</v>
      </c>
      <c r="AX238" s="1102">
        <f t="shared" ca="1" si="21"/>
        <v>0.59392896442171172</v>
      </c>
      <c r="AY238" s="318">
        <f t="shared" ca="1" si="16"/>
        <v>1</v>
      </c>
    </row>
    <row r="239" spans="2:51" ht="15" customHeight="1">
      <c r="B239" s="28"/>
      <c r="C239" s="19"/>
      <c r="AS239" s="1100" t="s">
        <v>840</v>
      </c>
      <c r="AT239" s="1101">
        <f ca="1">AT237-AT238</f>
        <v>1838453.4257942513</v>
      </c>
      <c r="AU239" s="1101">
        <f>Resultado!D39</f>
        <v>2400000</v>
      </c>
      <c r="AV239" s="1102">
        <f ca="1">IF(AU239=0,0,ROUND(AU239/AT239-1,4))</f>
        <v>0.3054</v>
      </c>
      <c r="AW239" s="1102">
        <f ca="1">(AU239-AT239)/AT237</f>
        <v>0.10607432798178261</v>
      </c>
      <c r="AX239" s="1102">
        <f t="shared" ca="1" si="21"/>
        <v>0.40607103557828816</v>
      </c>
      <c r="AY239" s="318">
        <f t="shared" ca="1" si="16"/>
        <v>1</v>
      </c>
    </row>
    <row r="240" spans="2:51" ht="15" customHeight="1">
      <c r="AS240" s="1103" t="str">
        <f>Resultado!B7</f>
        <v>Variação econômica</v>
      </c>
      <c r="AT240" s="1103"/>
      <c r="AU240" s="1103"/>
      <c r="AV240" s="1104"/>
      <c r="AW240" s="1105">
        <f ca="1">ROUND((AU239+AU238)/(AT238+AT239)-1,4)</f>
        <v>0.1164</v>
      </c>
      <c r="AX240" s="1104"/>
      <c r="AY240" s="318">
        <v>1</v>
      </c>
    </row>
    <row r="241" spans="2:51" ht="15" hidden="1" customHeight="1">
      <c r="AS241" s="921"/>
      <c r="AT241" s="921"/>
      <c r="AU241" s="921"/>
      <c r="AV241" s="922"/>
      <c r="AW241" s="923"/>
      <c r="AX241" s="923"/>
      <c r="AY241" s="318">
        <f t="shared" si="16"/>
        <v>0</v>
      </c>
    </row>
    <row r="242" spans="2:51" ht="15" customHeight="1">
      <c r="AS242" s="1096" t="s">
        <v>841</v>
      </c>
      <c r="AT242" s="1106"/>
      <c r="AU242" s="1106"/>
      <c r="AV242" s="1107"/>
      <c r="AW242" s="1098" t="s">
        <v>842</v>
      </c>
      <c r="AX242" s="1098"/>
      <c r="AY242" s="318">
        <v>1</v>
      </c>
    </row>
    <row r="243" spans="2:51" ht="15" customHeight="1">
      <c r="AS243" s="924" t="str">
        <f>AM167</f>
        <v>Repasse de PIS COFINS</v>
      </c>
      <c r="AT243" s="924"/>
      <c r="AU243" s="925">
        <f ca="1">AN167</f>
        <v>61438.618211552304</v>
      </c>
      <c r="AV243" s="926"/>
      <c r="AW243" s="926">
        <f ca="1">AU243/Financeiros!$D$4</f>
        <v>1.160555586709339E-2</v>
      </c>
      <c r="AX243" s="923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4" t="str">
        <f t="shared" ref="AS244:AS271" si="22">AM168</f>
        <v>Neutralidade Encargos Setoriais</v>
      </c>
      <c r="AT244" s="924"/>
      <c r="AU244" s="925">
        <f t="shared" ref="AU244:AU283" ca="1" si="23">AN168</f>
        <v>23342.836797452735</v>
      </c>
      <c r="AV244" s="926"/>
      <c r="AW244" s="926">
        <f ca="1">AU244/Financeiros!$D$4</f>
        <v>4.4093862205114263E-3</v>
      </c>
      <c r="AX244" s="923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4" t="str">
        <f t="shared" si="22"/>
        <v>Neutralidade Financeiros e Encargos Conta Covid</v>
      </c>
      <c r="AT245" s="924"/>
      <c r="AU245" s="925">
        <f t="shared" ca="1" si="23"/>
        <v>0</v>
      </c>
      <c r="AV245" s="926"/>
      <c r="AW245" s="926">
        <f ca="1">AU245/Financeiros!$D$4</f>
        <v>0</v>
      </c>
      <c r="AX245" s="923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4" t="str">
        <f t="shared" si="22"/>
        <v>Neutralidades Crédito de Pis cofins</v>
      </c>
      <c r="AT246" s="924"/>
      <c r="AU246" s="925">
        <f t="shared" ca="1" si="23"/>
        <v>0</v>
      </c>
      <c r="AV246" s="926"/>
      <c r="AW246" s="926">
        <f ca="1">AU246/Financeiros!$D$4</f>
        <v>0</v>
      </c>
      <c r="AX246" s="923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4" t="str">
        <f t="shared" si="22"/>
        <v>Ajuste CUST RB + PIS Cofins</v>
      </c>
      <c r="AT247" s="924"/>
      <c r="AU247" s="925">
        <f t="shared" si="23"/>
        <v>0</v>
      </c>
      <c r="AV247" s="926"/>
      <c r="AW247" s="926">
        <f ca="1">AU247/Financeiros!$D$4</f>
        <v>0</v>
      </c>
      <c r="AX247" s="923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4">
        <f t="shared" si="22"/>
        <v>0</v>
      </c>
      <c r="AT248" s="924"/>
      <c r="AU248" s="925">
        <f t="shared" si="23"/>
        <v>0</v>
      </c>
      <c r="AV248" s="926"/>
      <c r="AW248" s="926">
        <f ca="1">AU248/Financeiros!$D$4</f>
        <v>0</v>
      </c>
      <c r="AX248" s="923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4">
        <f t="shared" si="22"/>
        <v>0</v>
      </c>
      <c r="AT249" s="924"/>
      <c r="AU249" s="925">
        <f t="shared" si="23"/>
        <v>0</v>
      </c>
      <c r="AV249" s="926"/>
      <c r="AW249" s="926">
        <f ca="1">AU249/Financeiros!$D$4</f>
        <v>0</v>
      </c>
      <c r="AX249" s="923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4" t="str">
        <f t="shared" si="22"/>
        <v>Manual de Contabilidade do Setor Elétrico</v>
      </c>
      <c r="AT250" s="924"/>
      <c r="AU250" s="925">
        <f t="shared" si="23"/>
        <v>0</v>
      </c>
      <c r="AV250" s="926"/>
      <c r="AW250" s="926">
        <f ca="1">AU250/Financeiros!$D$4</f>
        <v>0</v>
      </c>
      <c r="AX250" s="923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4" t="str">
        <f t="shared" si="22"/>
        <v>Financeiro CDE Eletrobras</v>
      </c>
      <c r="AT251" s="924"/>
      <c r="AU251" s="925">
        <f t="shared" si="23"/>
        <v>0</v>
      </c>
      <c r="AV251" s="926"/>
      <c r="AW251" s="926">
        <f ca="1">AU251/Financeiros!$D$4</f>
        <v>0</v>
      </c>
      <c r="AX251" s="923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4" t="str">
        <f t="shared" si="22"/>
        <v>Ajustes Processo Anterior</v>
      </c>
      <c r="AT252" s="924"/>
      <c r="AU252" s="925">
        <f t="shared" si="23"/>
        <v>0</v>
      </c>
      <c r="AV252" s="926"/>
      <c r="AW252" s="926">
        <f ca="1">AU252/Financeiros!$D$4</f>
        <v>0</v>
      </c>
      <c r="AX252" s="923"/>
      <c r="AY252" s="318">
        <f t="shared" ca="1" si="24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4" t="str">
        <f t="shared" si="22"/>
        <v>Compensação DIC FIC</v>
      </c>
      <c r="AT253" s="924"/>
      <c r="AU253" s="925">
        <f t="shared" si="23"/>
        <v>-19756.596540923529</v>
      </c>
      <c r="AV253" s="926"/>
      <c r="AW253" s="926">
        <f ca="1">AU253/Financeiros!$D$4</f>
        <v>-3.7319570585036261E-3</v>
      </c>
      <c r="AX253" s="923"/>
      <c r="AY253" s="913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4" t="str">
        <f t="shared" si="22"/>
        <v>Subvenção CDE</v>
      </c>
      <c r="AT254" s="924"/>
      <c r="AU254" s="925">
        <f t="shared" ca="1" si="23"/>
        <v>-1242268.5927623026</v>
      </c>
      <c r="AV254" s="926"/>
      <c r="AW254" s="926">
        <f ca="1">AU254/Financeiros!$D$4</f>
        <v>-0.23466051117223077</v>
      </c>
      <c r="AX254" s="923"/>
      <c r="AY254" s="913">
        <f t="shared" ref="AY254:AY256" ca="1" si="25">IF(AW254=0,0,1)</f>
        <v>1</v>
      </c>
    </row>
    <row r="255" spans="2:51" ht="15" hidden="1" customHeight="1">
      <c r="B255" s="343"/>
      <c r="C255" s="344"/>
      <c r="D255" s="344"/>
      <c r="E255" s="344"/>
      <c r="F255" s="345"/>
      <c r="G255" s="345"/>
      <c r="H255" s="345"/>
      <c r="AS255" s="924" t="str">
        <f t="shared" si="22"/>
        <v>Retenção de Adicionais de Bandeiras Tarifárias</v>
      </c>
      <c r="AT255" s="924"/>
      <c r="AU255" s="925">
        <f t="shared" si="23"/>
        <v>0</v>
      </c>
      <c r="AV255" s="926"/>
      <c r="AW255" s="926">
        <f ca="1">AU255/Financeiros!$D$4</f>
        <v>0</v>
      </c>
      <c r="AX255" s="923"/>
      <c r="AY255" s="913">
        <f t="shared" ca="1" si="25"/>
        <v>0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4" t="str">
        <f t="shared" si="22"/>
        <v>Multa LPT</v>
      </c>
      <c r="AT256" s="924"/>
      <c r="AU256" s="925">
        <f t="shared" si="23"/>
        <v>0</v>
      </c>
      <c r="AV256" s="926"/>
      <c r="AW256" s="926">
        <f ca="1">AU256/Financeiros!$D$4</f>
        <v>0</v>
      </c>
      <c r="AX256" s="923"/>
      <c r="AY256" s="913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4" t="str">
        <f t="shared" si="22"/>
        <v>Repasse de ICMS</v>
      </c>
      <c r="AT257" s="924"/>
      <c r="AU257" s="925">
        <f t="shared" si="23"/>
        <v>0</v>
      </c>
      <c r="AV257" s="926"/>
      <c r="AW257" s="926">
        <f ca="1">AU257/Financeiros!$D$4</f>
        <v>0</v>
      </c>
      <c r="AX257" s="923"/>
      <c r="AY257" s="913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4">
        <f t="shared" si="22"/>
        <v>0</v>
      </c>
      <c r="AT258" s="924"/>
      <c r="AU258" s="925">
        <f t="shared" si="23"/>
        <v>0</v>
      </c>
      <c r="AV258" s="926"/>
      <c r="AW258" s="926">
        <f ca="1">AU258/Financeiros!$D$4</f>
        <v>0</v>
      </c>
      <c r="AX258" s="923"/>
      <c r="AY258" s="913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4" t="str">
        <f t="shared" si="22"/>
        <v>Ressarcimento P&amp;D</v>
      </c>
      <c r="AT259" s="924"/>
      <c r="AU259" s="925">
        <f t="shared" si="23"/>
        <v>0</v>
      </c>
      <c r="AV259" s="926"/>
      <c r="AW259" s="926">
        <f ca="1">AU259/Financeiros!$D$4</f>
        <v>0</v>
      </c>
      <c r="AX259" s="923"/>
      <c r="AY259" s="913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4" t="str">
        <f t="shared" si="22"/>
        <v>Efeito Conta COVID</v>
      </c>
      <c r="AT260" s="924"/>
      <c r="AU260" s="925">
        <f t="shared" si="23"/>
        <v>0</v>
      </c>
      <c r="AV260" s="926"/>
      <c r="AW260" s="926">
        <f ca="1">AU260/Financeiros!$D$4</f>
        <v>0</v>
      </c>
      <c r="AX260" s="923"/>
      <c r="AY260" s="913">
        <f t="shared" ca="1" si="27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4" t="str">
        <f t="shared" si="22"/>
        <v>Diferimento de Parcela B</v>
      </c>
      <c r="AT261" s="924"/>
      <c r="AU261" s="925">
        <f t="shared" si="23"/>
        <v>0</v>
      </c>
      <c r="AV261" s="926"/>
      <c r="AW261" s="926">
        <f ca="1">AU261/Financeiros!$D$4</f>
        <v>0</v>
      </c>
      <c r="AX261" s="923"/>
      <c r="AY261" s="913">
        <f t="shared" ca="1" si="26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4" t="str">
        <f t="shared" si="22"/>
        <v>Efeito COVID da Supridora</v>
      </c>
      <c r="AT262" s="924"/>
      <c r="AU262" s="925">
        <f t="shared" si="23"/>
        <v>0</v>
      </c>
      <c r="AV262" s="926"/>
      <c r="AW262" s="926">
        <f ca="1">AU262/Financeiros!$D$4</f>
        <v>0</v>
      </c>
      <c r="AX262" s="923"/>
      <c r="AY262" s="916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4" t="str">
        <f t="shared" si="22"/>
        <v>Crédito de Pis Cofins sobre ICMS</v>
      </c>
      <c r="AT263" s="924"/>
      <c r="AU263" s="925">
        <f t="shared" si="23"/>
        <v>0</v>
      </c>
      <c r="AV263" s="926"/>
      <c r="AW263" s="926">
        <f ca="1">AU263/Financeiros!$D$4</f>
        <v>0</v>
      </c>
      <c r="AX263" s="923"/>
      <c r="AY263" s="916">
        <f t="shared" ca="1" si="28"/>
        <v>0</v>
      </c>
    </row>
    <row r="264" spans="2:51" ht="15" customHeight="1">
      <c r="B264" s="343"/>
      <c r="C264" s="344"/>
      <c r="D264" s="344"/>
      <c r="E264" s="344"/>
      <c r="F264" s="345"/>
      <c r="G264" s="345"/>
      <c r="H264" s="345"/>
      <c r="AS264" s="924" t="str">
        <f t="shared" si="22"/>
        <v>Diferimento de PIS COFINS</v>
      </c>
      <c r="AT264" s="924"/>
      <c r="AU264" s="925">
        <f t="shared" ca="1" si="23"/>
        <v>-61438.618211552297</v>
      </c>
      <c r="AV264" s="926"/>
      <c r="AW264" s="926">
        <f ca="1">AU264/Financeiros!$D$4</f>
        <v>-1.1605555867093388E-2</v>
      </c>
      <c r="AX264" s="923"/>
      <c r="AY264" s="916">
        <f t="shared" ref="AY264:AY271" ca="1" si="29">IF(AW264=0,0,1)</f>
        <v>1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4">
        <f t="shared" si="22"/>
        <v>0</v>
      </c>
      <c r="AT265" s="924"/>
      <c r="AU265" s="925">
        <f t="shared" si="23"/>
        <v>0</v>
      </c>
      <c r="AV265" s="926"/>
      <c r="AW265" s="926">
        <f ca="1">AU265/Financeiros!$D$4</f>
        <v>0</v>
      </c>
      <c r="AX265" s="923"/>
      <c r="AY265" s="916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4" t="str">
        <f t="shared" si="22"/>
        <v>Financeiros associados ao §7º do Art. 88 da Ren 414/2021</v>
      </c>
      <c r="AT266" s="924"/>
      <c r="AU266" s="925">
        <f t="shared" si="23"/>
        <v>0</v>
      </c>
      <c r="AV266" s="926"/>
      <c r="AW266" s="926">
        <f ca="1">AU266/Financeiros!$D$4</f>
        <v>0</v>
      </c>
      <c r="AX266" s="923"/>
      <c r="AY266" s="916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4" t="str">
        <f t="shared" si="22"/>
        <v>Spread Conta Covid</v>
      </c>
      <c r="AT267" s="924"/>
      <c r="AU267" s="925">
        <f t="shared" si="23"/>
        <v>0</v>
      </c>
      <c r="AV267" s="926"/>
      <c r="AW267" s="926">
        <f ca="1">AU267/Financeiros!$D$4</f>
        <v>0</v>
      </c>
      <c r="AX267" s="923"/>
      <c r="AY267" s="916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4" t="str">
        <f t="shared" si="22"/>
        <v>Diferimento de Energia</v>
      </c>
      <c r="AT268" s="924"/>
      <c r="AU268" s="925">
        <f t="shared" si="23"/>
        <v>0</v>
      </c>
      <c r="AV268" s="926"/>
      <c r="AW268" s="926">
        <f ca="1">AU268/Financeiros!$D$4</f>
        <v>0</v>
      </c>
      <c r="AX268" s="923"/>
      <c r="AY268" s="916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4" t="str">
        <f t="shared" si="22"/>
        <v xml:space="preserve">Reversão do Diferimento de Compra de Energia </v>
      </c>
      <c r="AT269" s="924"/>
      <c r="AU269" s="925">
        <f t="shared" si="23"/>
        <v>0</v>
      </c>
      <c r="AV269" s="926"/>
      <c r="AW269" s="926">
        <f ca="1">AU269/Financeiros!$D$4</f>
        <v>0</v>
      </c>
      <c r="AX269" s="923"/>
      <c r="AY269" s="916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4" t="str">
        <f t="shared" si="22"/>
        <v>Reversão do Diferimento de Parcela B</v>
      </c>
      <c r="AT270" s="924"/>
      <c r="AU270" s="925">
        <f t="shared" si="23"/>
        <v>0</v>
      </c>
      <c r="AV270" s="926"/>
      <c r="AW270" s="926">
        <f ca="1">AU270/Financeiros!$D$4</f>
        <v>0</v>
      </c>
      <c r="AX270" s="923"/>
      <c r="AY270" s="916">
        <f t="shared" ca="1" si="29"/>
        <v>0</v>
      </c>
    </row>
    <row r="271" spans="2:51" ht="15" customHeight="1">
      <c r="B271" s="343"/>
      <c r="C271" s="344"/>
      <c r="D271" s="344"/>
      <c r="E271" s="344"/>
      <c r="F271" s="345"/>
      <c r="G271" s="345"/>
      <c r="H271" s="345"/>
      <c r="AS271" s="924" t="str">
        <f t="shared" si="22"/>
        <v>Reversão do Diferimento de Pis Cofins</v>
      </c>
      <c r="AT271" s="924"/>
      <c r="AU271" s="925">
        <f t="shared" si="23"/>
        <v>161818.51978759293</v>
      </c>
      <c r="AV271" s="926"/>
      <c r="AW271" s="926">
        <f ca="1">AU271/Financeiros!$D$4</f>
        <v>3.0566993959055995E-2</v>
      </c>
      <c r="AX271" s="923"/>
      <c r="AY271" s="916">
        <f t="shared" ca="1" si="29"/>
        <v>1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4">
        <f t="shared" ref="AS272:AS276" si="30">AM196</f>
        <v>0</v>
      </c>
      <c r="AT272" s="924"/>
      <c r="AU272" s="925">
        <f t="shared" si="23"/>
        <v>0</v>
      </c>
      <c r="AV272" s="926"/>
      <c r="AW272" s="926">
        <f ca="1">AU272/Financeiros!$D$4</f>
        <v>0</v>
      </c>
      <c r="AX272" s="923"/>
      <c r="AY272" s="913">
        <f t="shared" ref="AY272:AY276" ca="1" si="31">IF(AW272=0,0,1)</f>
        <v>0</v>
      </c>
    </row>
    <row r="273" spans="2:53" ht="15" customHeight="1">
      <c r="B273" s="343"/>
      <c r="C273" s="344"/>
      <c r="D273" s="344"/>
      <c r="E273" s="344"/>
      <c r="F273" s="345"/>
      <c r="G273" s="345"/>
      <c r="H273" s="345"/>
      <c r="AS273" s="924" t="str">
        <f t="shared" si="30"/>
        <v>CVE - Energia</v>
      </c>
      <c r="AT273" s="924"/>
      <c r="AU273" s="925">
        <f t="shared" ca="1" si="23"/>
        <v>-58703.927799999998</v>
      </c>
      <c r="AV273" s="926"/>
      <c r="AW273" s="926">
        <f ca="1">AU273/Financeiros!$D$4</f>
        <v>-1.108898171106025E-2</v>
      </c>
      <c r="AX273" s="923"/>
      <c r="AY273" s="913">
        <f t="shared" ca="1" si="31"/>
        <v>1</v>
      </c>
    </row>
    <row r="274" spans="2:53" ht="15" customHeight="1">
      <c r="B274" s="343"/>
      <c r="C274" s="344"/>
      <c r="D274" s="344"/>
      <c r="E274" s="344"/>
      <c r="F274" s="345"/>
      <c r="G274" s="345"/>
      <c r="H274" s="345"/>
      <c r="AS274" s="924" t="str">
        <f t="shared" si="30"/>
        <v>CVE - Encargos</v>
      </c>
      <c r="AT274" s="924"/>
      <c r="AU274" s="925">
        <f t="shared" si="23"/>
        <v>60497.069499999998</v>
      </c>
      <c r="AV274" s="926"/>
      <c r="AW274" s="926">
        <f ca="1">AU274/Financeiros!$D$4</f>
        <v>1.1427700366895057E-2</v>
      </c>
      <c r="AX274" s="923"/>
      <c r="AY274" s="913">
        <f t="shared" ca="1" si="31"/>
        <v>1</v>
      </c>
    </row>
    <row r="275" spans="2:53" ht="15" customHeight="1">
      <c r="B275" s="343"/>
      <c r="C275" s="344"/>
      <c r="D275" s="344"/>
      <c r="E275" s="344"/>
      <c r="F275" s="345"/>
      <c r="G275" s="345"/>
      <c r="H275" s="345"/>
      <c r="AS275" s="924" t="str">
        <f t="shared" si="30"/>
        <v>Conta Escassez</v>
      </c>
      <c r="AT275" s="924"/>
      <c r="AU275" s="925">
        <f t="shared" ca="1" si="23"/>
        <v>-45482.544057402913</v>
      </c>
      <c r="AV275" s="926"/>
      <c r="AW275" s="926">
        <f ca="1">AU275/Financeiros!$D$4</f>
        <v>-8.5915051705455561E-3</v>
      </c>
      <c r="AX275" s="923"/>
      <c r="AY275" s="913">
        <f t="shared" ca="1" si="31"/>
        <v>1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4">
        <f t="shared" si="30"/>
        <v>0</v>
      </c>
      <c r="AT276" s="924"/>
      <c r="AU276" s="925">
        <f t="shared" si="23"/>
        <v>0</v>
      </c>
      <c r="AV276" s="926"/>
      <c r="AW276" s="926">
        <f ca="1">AU276/Financeiros!$D$4</f>
        <v>0</v>
      </c>
      <c r="AX276" s="923"/>
      <c r="AY276" s="913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4">
        <f t="shared" ref="AS277:AS281" si="32">AM201</f>
        <v>0</v>
      </c>
      <c r="AT277" s="924"/>
      <c r="AU277" s="925">
        <f t="shared" si="23"/>
        <v>0</v>
      </c>
      <c r="AV277" s="926"/>
      <c r="AW277" s="926">
        <f ca="1">AU277/Financeiros!$D$4</f>
        <v>0</v>
      </c>
      <c r="AX277" s="923"/>
      <c r="AY277" s="913">
        <f t="shared" ref="AY277:AY281" ca="1" si="33">IF(AW277=0,0,1)</f>
        <v>0</v>
      </c>
    </row>
    <row r="278" spans="2:53" ht="15" customHeight="1">
      <c r="B278" s="343"/>
      <c r="C278" s="344"/>
      <c r="D278" s="344"/>
      <c r="E278" s="344"/>
      <c r="F278" s="345"/>
      <c r="G278" s="345"/>
      <c r="H278" s="345"/>
      <c r="AS278" s="924" t="str">
        <f t="shared" si="32"/>
        <v>Sobrecontratação/Exposição de Energia</v>
      </c>
      <c r="AT278" s="924"/>
      <c r="AU278" s="925">
        <f t="shared" ca="1" si="23"/>
        <v>-737.77549999999985</v>
      </c>
      <c r="AV278" s="926"/>
      <c r="AW278" s="926">
        <f ca="1">AU278/Financeiros!$D$4</f>
        <v>-1.3936340093359699E-4</v>
      </c>
      <c r="AX278" s="923"/>
      <c r="AY278" s="913">
        <f t="shared" ca="1" si="33"/>
        <v>1</v>
      </c>
    </row>
    <row r="279" spans="2:53" ht="15" customHeight="1">
      <c r="B279" s="343"/>
      <c r="C279" s="344"/>
      <c r="D279" s="344"/>
      <c r="E279" s="344"/>
      <c r="F279" s="345"/>
      <c r="G279" s="345"/>
      <c r="H279" s="345"/>
      <c r="AS279" s="924" t="str">
        <f t="shared" si="32"/>
        <v>Reversão de Risco Hidrológico</v>
      </c>
      <c r="AT279" s="924"/>
      <c r="AU279" s="925">
        <f t="shared" ca="1" si="23"/>
        <v>-123230.44921488343</v>
      </c>
      <c r="AV279" s="926"/>
      <c r="AW279" s="926">
        <f ca="1">AU279/Financeiros!$D$4</f>
        <v>-2.3277832485845716E-2</v>
      </c>
      <c r="AX279" s="923"/>
      <c r="AY279" s="913">
        <f t="shared" ca="1" si="33"/>
        <v>1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4" t="str">
        <f t="shared" si="32"/>
        <v>Previsão de Risco Hidrologico</v>
      </c>
      <c r="AT280" s="924"/>
      <c r="AU280" s="925">
        <f t="shared" ca="1" si="23"/>
        <v>148258.43931250859</v>
      </c>
      <c r="AV280" s="926"/>
      <c r="AW280" s="926">
        <f ca="1">AU280/Financeiros!$D$4</f>
        <v>2.8005538703438238E-2</v>
      </c>
      <c r="AX280" s="923"/>
      <c r="AY280" s="913">
        <f t="shared" ca="1" si="33"/>
        <v>1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4" t="str">
        <f t="shared" si="32"/>
        <v>Diferimento Previsão do Risco Hidrológico</v>
      </c>
      <c r="AT281" s="924"/>
      <c r="AU281" s="925">
        <f t="shared" si="23"/>
        <v>0</v>
      </c>
      <c r="AV281" s="926"/>
      <c r="AW281" s="926">
        <f ca="1">AU281/Financeiros!$D$4</f>
        <v>0</v>
      </c>
      <c r="AX281" s="923"/>
      <c r="AY281" s="913">
        <f t="shared" ca="1" si="33"/>
        <v>0</v>
      </c>
    </row>
    <row r="282" spans="2:53" ht="15" customHeight="1">
      <c r="B282" s="343"/>
      <c r="C282" s="344"/>
      <c r="D282" s="344"/>
      <c r="E282" s="344"/>
      <c r="F282" s="345"/>
      <c r="G282" s="345"/>
      <c r="H282" s="345"/>
      <c r="AS282" s="924" t="str">
        <f t="shared" ref="AS282:AS283" si="34">AM206</f>
        <v>Diferimento CUSD</v>
      </c>
      <c r="AT282" s="924"/>
      <c r="AU282" s="925">
        <f t="shared" si="23"/>
        <v>-300000</v>
      </c>
      <c r="AV282" s="926"/>
      <c r="AW282" s="926">
        <f ca="1">AU282/Financeiros!$D$4</f>
        <v>-5.6669027746352525E-2</v>
      </c>
      <c r="AX282" s="923"/>
      <c r="AY282" s="913">
        <f t="shared" ref="AY282:AY283" ca="1" si="35">IF(AW282=0,0,1)</f>
        <v>1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4">
        <f t="shared" si="34"/>
        <v>0</v>
      </c>
      <c r="AT283" s="924"/>
      <c r="AU283" s="925">
        <f t="shared" si="23"/>
        <v>0</v>
      </c>
      <c r="AV283" s="926"/>
      <c r="AW283" s="926">
        <f ca="1">AU283/Financeiros!$D$4</f>
        <v>0</v>
      </c>
      <c r="AX283" s="923"/>
      <c r="AY283" s="913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3" t="s">
        <v>843</v>
      </c>
      <c r="AT284" s="1103"/>
      <c r="AU284" s="1108">
        <f ca="1">SUM(AU243:AU283)</f>
        <v>-1396263.0204779583</v>
      </c>
      <c r="AV284" s="1109"/>
      <c r="AW284" s="1109">
        <f ca="1">ROUND(SUM(AW243:AW283),4)</f>
        <v>-0.26369999999999999</v>
      </c>
      <c r="AX284" s="1109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0" t="str">
        <f>Resultado!B9</f>
        <v>Variação econômica e financeira</v>
      </c>
      <c r="AT285" s="1110"/>
      <c r="AU285" s="1110"/>
      <c r="AV285" s="1111"/>
      <c r="AW285" s="1111">
        <f ca="1">ROUND(AW240+AW284,4)</f>
        <v>-0.14729999999999999</v>
      </c>
      <c r="AX285" s="1111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3" t="s">
        <v>844</v>
      </c>
      <c r="AT286" s="1103"/>
      <c r="AU286" s="1103"/>
      <c r="AV286" s="1103"/>
      <c r="AW286" s="1112">
        <f ca="1">ROUND(AW288-AW285,4)</f>
        <v>0.25180000000000002</v>
      </c>
      <c r="AX286" s="1112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3" t="s">
        <v>845</v>
      </c>
      <c r="AT287" s="1113"/>
      <c r="AU287" s="1108"/>
      <c r="AV287" s="1108"/>
      <c r="AW287" s="1114">
        <v>0</v>
      </c>
      <c r="AX287" s="1115"/>
      <c r="AY287" s="318">
        <f t="shared" si="16"/>
        <v>0</v>
      </c>
      <c r="BA287" s="769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7" t="s">
        <v>846</v>
      </c>
      <c r="AT288" s="1837"/>
      <c r="AU288" s="1837"/>
      <c r="AV288" s="1837"/>
      <c r="AW288" s="1111">
        <f>Resultado!L5</f>
        <v>0.10445708587895863</v>
      </c>
      <c r="AX288" s="1111"/>
      <c r="AY288" s="318"/>
    </row>
    <row r="289" spans="2:84" ht="15" customHeight="1">
      <c r="AW289" s="771">
        <v>-0.1116</v>
      </c>
      <c r="BA289" s="1094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9" t="s">
        <v>849</v>
      </c>
      <c r="BB290" s="929" t="str">
        <f>"Cobertura "&amp;YEAR(CAPA!C14)&amp;"/"&amp;YEAR(CAPA!C14)+1</f>
        <v>Cobertura 2021/2022</v>
      </c>
      <c r="BC290" s="929" t="str">
        <f>"Cobertura "&amp;YEAR(CAPA!C14)&amp;"/"&amp;YEAR(CAPA!C14)+1&amp;" Atualizada"</f>
        <v>Cobertura 2021/2022 Atualizada</v>
      </c>
      <c r="BD290" s="929" t="s">
        <v>850</v>
      </c>
      <c r="BE290" s="929" t="s">
        <v>851</v>
      </c>
      <c r="BF290" s="929" t="s">
        <v>852</v>
      </c>
      <c r="BG290" s="929" t="str">
        <f>"Previsão "&amp;YEAR(CAPA!C14)+1&amp;"/"&amp;YEAR(CAPA!C14)+2</f>
        <v>Previsão 2022/2023</v>
      </c>
      <c r="BH290" s="929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0" t="e">
        <f>Indexador!#REF!</f>
        <v>#REF!</v>
      </c>
      <c r="BC291" s="930" t="e">
        <f>Indexador!#REF!</f>
        <v>#REF!</v>
      </c>
      <c r="BD291" s="930" t="e">
        <f>Indexador!#REF!</f>
        <v>#REF!</v>
      </c>
      <c r="BE291" s="930" t="e">
        <f>Indexador!#REF!</f>
        <v>#REF!</v>
      </c>
      <c r="BF291" s="930">
        <f>BP311</f>
        <v>0</v>
      </c>
      <c r="BG291" s="930">
        <f t="shared" ref="BG291:BH296" si="36">BQ311</f>
        <v>0</v>
      </c>
      <c r="BH291" s="930">
        <f t="shared" si="36"/>
        <v>0</v>
      </c>
      <c r="BI291" s="352" t="e">
        <f>Indexador!#REF!</f>
        <v>#REF!</v>
      </c>
      <c r="BJ291" s="333">
        <f t="shared" ref="BJ291:BJ297" si="37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30" t="e">
        <f>Indexador!#REF!</f>
        <v>#REF!</v>
      </c>
      <c r="BC292" s="930" t="e">
        <f>Indexador!#REF!</f>
        <v>#REF!</v>
      </c>
      <c r="BD292" s="930" t="e">
        <f>Indexador!#REF!</f>
        <v>#REF!</v>
      </c>
      <c r="BE292" s="930" t="e">
        <f>Indexador!#REF!</f>
        <v>#REF!</v>
      </c>
      <c r="BF292" s="931">
        <f t="shared" ref="BF292:BF296" si="39">BP312</f>
        <v>0</v>
      </c>
      <c r="BG292" s="931">
        <f t="shared" si="36"/>
        <v>0</v>
      </c>
      <c r="BH292" s="931">
        <f t="shared" si="36"/>
        <v>0</v>
      </c>
      <c r="BI292" s="352" t="e">
        <f>Indexador!#REF!</f>
        <v>#REF!</v>
      </c>
      <c r="BJ292" s="333">
        <f t="shared" si="37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30" t="e">
        <f>Indexador!#REF!</f>
        <v>#REF!</v>
      </c>
      <c r="BC293" s="930" t="e">
        <f>Indexador!#REF!</f>
        <v>#REF!</v>
      </c>
      <c r="BD293" s="930" t="e">
        <f>Indexador!#REF!</f>
        <v>#REF!</v>
      </c>
      <c r="BE293" s="930" t="e">
        <f>Indexador!#REF!</f>
        <v>#REF!</v>
      </c>
      <c r="BF293" s="931">
        <f t="shared" si="39"/>
        <v>0</v>
      </c>
      <c r="BG293" s="931">
        <f t="shared" si="36"/>
        <v>0</v>
      </c>
      <c r="BH293" s="931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hidden="1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30" t="e">
        <f>Indexador!#REF!</f>
        <v>#REF!</v>
      </c>
      <c r="BC294" s="930" t="e">
        <f>Indexador!#REF!</f>
        <v>#REF!</v>
      </c>
      <c r="BD294" s="930" t="e">
        <f>Indexador!#REF!</f>
        <v>#REF!</v>
      </c>
      <c r="BE294" s="930" t="e">
        <f>Indexador!#REF!</f>
        <v>#REF!</v>
      </c>
      <c r="BF294" s="931">
        <f t="shared" si="39"/>
        <v>0</v>
      </c>
      <c r="BG294" s="931">
        <f t="shared" si="36"/>
        <v>0</v>
      </c>
      <c r="BH294" s="931">
        <f t="shared" si="36"/>
        <v>0</v>
      </c>
      <c r="BI294" s="352" t="e">
        <f>Indexador!#REF!</f>
        <v>#REF!</v>
      </c>
      <c r="BJ294" s="333">
        <f t="shared" si="37"/>
        <v>0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30" t="e">
        <f>Indexador!#REF!</f>
        <v>#REF!</v>
      </c>
      <c r="BC295" s="930" t="e">
        <f>Indexador!#REF!</f>
        <v>#REF!</v>
      </c>
      <c r="BD295" s="930" t="e">
        <f>Indexador!#REF!</f>
        <v>#REF!</v>
      </c>
      <c r="BE295" s="930" t="e">
        <f>Indexador!#REF!</f>
        <v>#REF!</v>
      </c>
      <c r="BF295" s="931">
        <f t="shared" si="39"/>
        <v>-238.08172542812949</v>
      </c>
      <c r="BG295" s="931">
        <f t="shared" si="36"/>
        <v>2224.4260743059453</v>
      </c>
      <c r="BH295" s="931">
        <f t="shared" si="36"/>
        <v>1986.3443488778159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30" t="e">
        <f>Indexador!#REF!</f>
        <v>#REF!</v>
      </c>
      <c r="BC296" s="930" t="e">
        <f>Indexador!#REF!</f>
        <v>#REF!</v>
      </c>
      <c r="BD296" s="930" t="e">
        <f>Indexador!#REF!</f>
        <v>#REF!</v>
      </c>
      <c r="BE296" s="930" t="e">
        <f>Indexador!#REF!</f>
        <v>#REF!</v>
      </c>
      <c r="BF296" s="931">
        <f t="shared" si="39"/>
        <v>-53.131928328273524</v>
      </c>
      <c r="BG296" s="931">
        <f t="shared" si="36"/>
        <v>77.893585521929495</v>
      </c>
      <c r="BH296" s="931">
        <f t="shared" si="36"/>
        <v>24.761657193655971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3" t="s">
        <v>760</v>
      </c>
      <c r="BB297" s="1116" t="e">
        <f t="shared" ref="BB297:BI297" si="40">SUM(BB291:BB296)</f>
        <v>#REF!</v>
      </c>
      <c r="BC297" s="1116" t="e">
        <f t="shared" si="40"/>
        <v>#REF!</v>
      </c>
      <c r="BD297" s="1116" t="e">
        <f t="shared" si="40"/>
        <v>#REF!</v>
      </c>
      <c r="BE297" s="1116" t="e">
        <f t="shared" si="40"/>
        <v>#REF!</v>
      </c>
      <c r="BF297" s="1117">
        <f t="shared" si="40"/>
        <v>-291.213653756403</v>
      </c>
      <c r="BG297" s="1117">
        <f t="shared" si="40"/>
        <v>2302.3196598278751</v>
      </c>
      <c r="BH297" s="1117">
        <f t="shared" si="40"/>
        <v>2011.1060060714719</v>
      </c>
      <c r="BI297" s="1118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4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9" t="s">
        <v>853</v>
      </c>
      <c r="BL299" s="1119" t="s">
        <v>793</v>
      </c>
      <c r="BM299" s="1119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0" t="s">
        <v>854</v>
      </c>
      <c r="BL308" s="1118">
        <f ca="1">SUM(BL300:BL307)</f>
        <v>0</v>
      </c>
      <c r="BM308" s="1118">
        <f>SUM(BM300:BM307)</f>
        <v>0</v>
      </c>
      <c r="BN308" s="333">
        <f ca="1">IF(BL308=0,0,1)</f>
        <v>0</v>
      </c>
      <c r="BO308" s="1094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(Cersad).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1" t="s">
        <v>856</v>
      </c>
      <c r="BP310" s="1121" t="s">
        <v>857</v>
      </c>
      <c r="BQ310" s="1121" t="s">
        <v>858</v>
      </c>
      <c r="BR310" s="1122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3" t="s">
        <v>860</v>
      </c>
      <c r="BP311" s="1124">
        <f>IFERROR(Aj.Subsídio!L5,0)</f>
        <v>0</v>
      </c>
      <c r="BQ311" s="1124">
        <f>IFERROR(Aj.Subsídio!M5,0)</f>
        <v>0</v>
      </c>
      <c r="BR311" s="1124">
        <f t="shared" ref="BR311:BR317" si="42">BP311+BQ311</f>
        <v>0</v>
      </c>
      <c r="BS311" s="405">
        <f t="shared" ref="BS311:BS317" si="43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3" t="s">
        <v>861</v>
      </c>
      <c r="BP312" s="1124">
        <f>IFERROR(Aj.Subsídio!L6,0)</f>
        <v>0</v>
      </c>
      <c r="BQ312" s="1124">
        <f>IFERROR(Aj.Subsídio!M6,0)</f>
        <v>0</v>
      </c>
      <c r="BR312" s="1125">
        <f t="shared" si="42"/>
        <v>0</v>
      </c>
      <c r="BS312" s="358">
        <f t="shared" si="43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3" t="s">
        <v>862</v>
      </c>
      <c r="BP313" s="1124">
        <f>IFERROR(Aj.Subsídio!L7,0)</f>
        <v>0</v>
      </c>
      <c r="BQ313" s="1124">
        <f>IFERROR(Aj.Subsídio!M7,0)</f>
        <v>0</v>
      </c>
      <c r="BR313" s="1125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3" t="s">
        <v>863</v>
      </c>
      <c r="BP314" s="1124">
        <f>IFERROR(Aj.Subsídio!L8,0)</f>
        <v>0</v>
      </c>
      <c r="BQ314" s="1124">
        <f>IFERROR(Aj.Subsídio!M8,0)</f>
        <v>0</v>
      </c>
      <c r="BR314" s="1125">
        <f t="shared" si="42"/>
        <v>0</v>
      </c>
      <c r="BS314" s="358">
        <f t="shared" si="43"/>
        <v>0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3" t="s">
        <v>864</v>
      </c>
      <c r="BP315" s="1124">
        <f>IFERROR(Aj.Subsídio!L9,0)</f>
        <v>-238.08172542812949</v>
      </c>
      <c r="BQ315" s="1124">
        <f>IFERROR(Aj.Subsídio!M9,0)</f>
        <v>2224.4260743059453</v>
      </c>
      <c r="BR315" s="1125">
        <f t="shared" si="42"/>
        <v>1986.3443488778159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3" t="s">
        <v>865</v>
      </c>
      <c r="BP316" s="1124">
        <f>IFERROR(Aj.Subsídio!L10,0)</f>
        <v>-53.131928328273524</v>
      </c>
      <c r="BQ316" s="1124">
        <f>IFERROR(Aj.Subsídio!M10,0)</f>
        <v>77.893585521929495</v>
      </c>
      <c r="BR316" s="1125">
        <f t="shared" si="42"/>
        <v>24.761657193655971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6" t="s">
        <v>769</v>
      </c>
      <c r="BP317" s="1124">
        <f>SUM(BP311:BP316)</f>
        <v>-291.213653756403</v>
      </c>
      <c r="BQ317" s="1124">
        <f>SUM(BQ311:BQ316)</f>
        <v>2302.3196598278751</v>
      </c>
      <c r="BR317" s="1125">
        <f t="shared" si="42"/>
        <v>2011.1060060714722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7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12.7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49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</v>
      </c>
      <c r="BW320" s="420">
        <f>Energia!F28</f>
        <v>0</v>
      </c>
      <c r="BY320" s="23">
        <f t="shared" ref="BY320:BY326" si="44">IF(BU320=0,0,1)</f>
        <v>1</v>
      </c>
      <c r="BZ320" s="648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48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48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48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48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48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0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7" t="s">
        <v>633</v>
      </c>
      <c r="CA327" s="1128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9" t="s">
        <v>871</v>
      </c>
      <c r="CA329" s="1130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40"/>
      <c r="C338" s="1840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40"/>
      <c r="C344" s="1840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40"/>
      <c r="C353" s="1840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  <ignoredError sqref="AN205" formulaRange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zoomScaleNormal="100" workbookViewId="0">
      <selection activeCell="B1" sqref="B1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605" customWidth="1"/>
    <col min="7" max="7" width="47.85546875" style="1605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2" t="s">
        <v>724</v>
      </c>
      <c r="D1" s="1304"/>
      <c r="E1" s="1305"/>
      <c r="F1" s="1598"/>
      <c r="G1" s="1712"/>
      <c r="H1" s="1711"/>
      <c r="I1" s="1596"/>
      <c r="J1" s="1607" t="s">
        <v>873</v>
      </c>
      <c r="K1" s="1231">
        <f ca="1">LnkTXTIRTEco</f>
        <v>0.1164</v>
      </c>
      <c r="L1" s="1596"/>
      <c r="M1" s="1596"/>
    </row>
    <row r="2" spans="3:23" ht="16.5">
      <c r="C2" s="619" t="str">
        <f>CAPA!B2</f>
        <v>Cersad</v>
      </c>
      <c r="D2" s="621"/>
      <c r="E2" s="903"/>
      <c r="F2" s="1599"/>
      <c r="G2" s="1708" t="s">
        <v>2257</v>
      </c>
      <c r="H2" s="1713">
        <f ca="1">LnkTXTEV/LnkTXTER</f>
        <v>0.87407735165135925</v>
      </c>
      <c r="I2" s="903"/>
      <c r="J2" s="1608" t="s">
        <v>877</v>
      </c>
      <c r="K2" s="1609">
        <f ca="1">LnkTXTIRTTotal</f>
        <v>-0.14729999999999999</v>
      </c>
      <c r="L2" s="903"/>
      <c r="M2" s="903"/>
    </row>
    <row r="3" spans="3:23" ht="16.5">
      <c r="C3" s="623"/>
      <c r="D3" s="621"/>
      <c r="E3" s="903"/>
      <c r="F3" s="1599"/>
      <c r="G3" s="1709" t="s">
        <v>2259</v>
      </c>
      <c r="H3" s="1714">
        <f ca="1">Energia!D10/LnkTXTER</f>
        <v>0</v>
      </c>
      <c r="I3" s="903"/>
      <c r="J3" s="903"/>
      <c r="K3" s="903"/>
      <c r="L3" s="903"/>
      <c r="M3" s="903"/>
    </row>
    <row r="4" spans="3:23" ht="16.5">
      <c r="C4" s="1306" t="s">
        <v>1278</v>
      </c>
      <c r="D4" s="1307">
        <f ca="1">LnkTXTRA0</f>
        <v>5293897.0709500015</v>
      </c>
      <c r="E4" s="904"/>
      <c r="F4" s="1600"/>
      <c r="G4" s="1709" t="s">
        <v>2262</v>
      </c>
      <c r="H4" s="1714">
        <f ca="1">Energia!D11/LnkTXTER</f>
        <v>0.11819037123003297</v>
      </c>
      <c r="I4" s="904"/>
      <c r="J4" s="904"/>
      <c r="K4" s="904"/>
      <c r="L4" s="904"/>
      <c r="M4" s="904"/>
    </row>
    <row r="5" spans="3:23" ht="16.5">
      <c r="C5" s="1308" t="s">
        <v>1279</v>
      </c>
      <c r="D5" s="1309">
        <f ca="1">D7</f>
        <v>-1396263.0204779583</v>
      </c>
      <c r="E5" s="905"/>
      <c r="F5" s="1601"/>
      <c r="G5" s="1709" t="s">
        <v>2260</v>
      </c>
      <c r="H5" s="1714">
        <f ca="1">Energia!D12/LnkTXTER</f>
        <v>9.2100214692861844E-4</v>
      </c>
      <c r="I5" s="905"/>
      <c r="J5" s="905"/>
      <c r="K5" s="905"/>
      <c r="L5" s="905"/>
      <c r="M5" s="905"/>
    </row>
    <row r="6" spans="3:23" ht="16.5">
      <c r="C6" s="622"/>
      <c r="D6" s="1310"/>
      <c r="E6" s="906"/>
      <c r="F6" s="1602"/>
      <c r="G6" s="1710" t="s">
        <v>2261</v>
      </c>
      <c r="H6" s="1715">
        <f ca="1">Energia!D13/LnkTXTER</f>
        <v>6.8112749716790801E-3</v>
      </c>
      <c r="I6" s="906"/>
      <c r="J6" s="906"/>
      <c r="K6" s="906"/>
      <c r="L6" s="906"/>
      <c r="M6" s="906"/>
    </row>
    <row r="7" spans="3:23" ht="17.25" thickBot="1">
      <c r="C7" s="1311" t="s">
        <v>1280</v>
      </c>
      <c r="D7" s="1312">
        <f ca="1">SUM(D9:D100)</f>
        <v>-1396263.0204779583</v>
      </c>
      <c r="E7" s="1313">
        <f ca="1">SUM(E9:E100)</f>
        <v>-0.26374955949557127</v>
      </c>
      <c r="F7" s="1603"/>
      <c r="G7" s="1603"/>
      <c r="H7" s="1597"/>
      <c r="I7" s="1597"/>
      <c r="J7" s="1597"/>
      <c r="K7" s="1597"/>
      <c r="L7" s="1597"/>
      <c r="M7" s="1597"/>
    </row>
    <row r="8" spans="3:23" ht="16.5">
      <c r="C8" s="1314" t="s">
        <v>1281</v>
      </c>
      <c r="D8" s="1315" t="s">
        <v>37</v>
      </c>
      <c r="E8" s="1316" t="s">
        <v>1282</v>
      </c>
      <c r="F8" s="1604" t="s">
        <v>22</v>
      </c>
      <c r="G8" s="1604" t="s">
        <v>2276</v>
      </c>
      <c r="H8" s="1610" t="s">
        <v>1283</v>
      </c>
      <c r="I8" s="1610" t="s">
        <v>1284</v>
      </c>
      <c r="J8" s="1610" t="s">
        <v>1285</v>
      </c>
      <c r="K8" s="1610" t="s">
        <v>1286</v>
      </c>
      <c r="L8" s="1610" t="s">
        <v>1287</v>
      </c>
      <c r="M8" s="1610" t="s">
        <v>1288</v>
      </c>
      <c r="O8" s="1589" t="s">
        <v>22</v>
      </c>
      <c r="P8" s="1590" t="s">
        <v>1410</v>
      </c>
      <c r="Q8" s="1591" t="s">
        <v>1411</v>
      </c>
      <c r="R8" s="1591" t="s">
        <v>1412</v>
      </c>
      <c r="T8" s="1572" t="s">
        <v>22</v>
      </c>
      <c r="U8" s="1572" t="s">
        <v>1286</v>
      </c>
      <c r="V8" s="1572" t="s">
        <v>1287</v>
      </c>
      <c r="W8" s="1572" t="s">
        <v>1288</v>
      </c>
    </row>
    <row r="9" spans="3:23" ht="16.5">
      <c r="C9" s="1654" t="s">
        <v>1289</v>
      </c>
      <c r="D9" s="1655">
        <f>IFERROR(ABS(Indexador!$D$49)*'Tributos suprimento'!$C$41,0)</f>
        <v>21613.100516236267</v>
      </c>
      <c r="E9" s="1630">
        <f ca="1">IF(ISERROR(D9/$D$4),0,D9/$D$4)</f>
        <v>4.0826446427976639E-3</v>
      </c>
      <c r="F9" s="1618" t="s">
        <v>2237</v>
      </c>
      <c r="G9" s="1637" t="s">
        <v>2269</v>
      </c>
      <c r="H9" s="1619">
        <f>IFERROR(VLOOKUP(Financeiros[[#This Row],[Tipo]],RefTabTipo[],2,FALSE),0)</f>
        <v>22</v>
      </c>
      <c r="I9" s="1643">
        <f>IFERROR(VLOOKUP(Financeiros[[#This Row],[Tipo]],RefTabTipo[],3,FALSE),0)</f>
        <v>60</v>
      </c>
      <c r="J9" s="1620">
        <f>IFERROR(VLOOKUP(Financeiros[[#This Row],[Tipo]],RefTabTipo[],4,FALSE),0)</f>
        <v>999</v>
      </c>
      <c r="K9" s="1649">
        <f>IFERROR(VLOOKUP(Financeiros[[#This Row],[Grupo Tarifário]],RefTabGrupoTarifa[],2,FALSE),0)</f>
        <v>1</v>
      </c>
      <c r="L9" s="1619">
        <f>IFERROR(VLOOKUP(Financeiros[[#This Row],[Grupo Tarifário]],RefTabGrupoTarifa[],3,FALSE),0)</f>
        <v>7</v>
      </c>
      <c r="M9" s="1649">
        <f>IFERROR(VLOOKUP(Financeiros[[#This Row],[Grupo Tarifário]],RefTabGrupoTarifa[],4,FALSE),0)</f>
        <v>9</v>
      </c>
      <c r="O9" s="1592" t="s">
        <v>2230</v>
      </c>
      <c r="P9" s="1593">
        <v>22</v>
      </c>
      <c r="Q9" s="1593">
        <v>60</v>
      </c>
      <c r="R9" s="1594">
        <v>235</v>
      </c>
      <c r="T9" s="847" t="s">
        <v>2241</v>
      </c>
      <c r="U9" s="1464">
        <v>99</v>
      </c>
      <c r="V9" s="1464">
        <v>999</v>
      </c>
      <c r="W9" s="1464">
        <v>2</v>
      </c>
    </row>
    <row r="10" spans="3:23" ht="16.5">
      <c r="C10" s="1654" t="s">
        <v>2288</v>
      </c>
      <c r="D10" s="1655">
        <f ca="1">IFERROR(ABS(Indexador!$D$49)*'Tributos suprimento'!$D$41*H2,0)</f>
        <v>34810.583035266187</v>
      </c>
      <c r="E10" s="1630">
        <f t="shared" ref="E10:E73" ca="1" si="0">IF(ISERROR(D10/$D$4),0,D10/$D$4)</f>
        <v>6.5756063196406936E-3</v>
      </c>
      <c r="F10" s="1618" t="s">
        <v>2237</v>
      </c>
      <c r="G10" s="1637" t="s">
        <v>2257</v>
      </c>
      <c r="H10" s="1619">
        <f>IFERROR(VLOOKUP(Financeiros[[#This Row],[Tipo]],RefTabTipo[],2,FALSE),0)</f>
        <v>22</v>
      </c>
      <c r="I10" s="1643">
        <f>IFERROR(VLOOKUP(Financeiros[[#This Row],[Tipo]],RefTabTipo[],3,FALSE),0)</f>
        <v>60</v>
      </c>
      <c r="J10" s="1620">
        <f>IFERROR(VLOOKUP(Financeiros[[#This Row],[Tipo]],RefTabTipo[],4,FALSE),0)</f>
        <v>999</v>
      </c>
      <c r="K10" s="1649">
        <f>IFERROR(VLOOKUP(Financeiros[[#This Row],[Grupo Tarifário]],RefTabGrupoTarifa[],2,FALSE),0)</f>
        <v>2</v>
      </c>
      <c r="L10" s="1619">
        <f>IFERROR(VLOOKUP(Financeiros[[#This Row],[Grupo Tarifário]],RefTabGrupoTarifa[],3,FALSE),0)</f>
        <v>11</v>
      </c>
      <c r="M10" s="1649">
        <f>IFERROR(VLOOKUP(Financeiros[[#This Row],[Grupo Tarifário]],RefTabGrupoTarifa[],4,FALSE),0)</f>
        <v>9</v>
      </c>
      <c r="O10" s="1592" t="s">
        <v>2231</v>
      </c>
      <c r="P10" s="1593">
        <v>20</v>
      </c>
      <c r="Q10" s="1593">
        <v>60</v>
      </c>
      <c r="R10" s="1594">
        <v>234</v>
      </c>
      <c r="T10" s="847" t="s">
        <v>2242</v>
      </c>
      <c r="U10" s="1464">
        <v>99</v>
      </c>
      <c r="V10" s="1464">
        <v>999</v>
      </c>
      <c r="W10" s="1464">
        <v>1</v>
      </c>
    </row>
    <row r="11" spans="3:23" ht="16.5">
      <c r="C11" s="1654" t="s">
        <v>2289</v>
      </c>
      <c r="D11" s="1655">
        <f ca="1">IFERROR(ABS(Indexador!$D$49)*'Tributos suprimento'!$D$41*H3,0)</f>
        <v>0</v>
      </c>
      <c r="E11" s="1630">
        <f t="shared" ca="1" si="0"/>
        <v>0</v>
      </c>
      <c r="F11" s="1618" t="s">
        <v>2237</v>
      </c>
      <c r="G11" s="1637" t="s">
        <v>2259</v>
      </c>
      <c r="H11" s="1619">
        <f>IFERROR(VLOOKUP(Financeiros[[#This Row],[Tipo]],RefTabTipo[],2,FALSE),0)</f>
        <v>22</v>
      </c>
      <c r="I11" s="1643">
        <f>IFERROR(VLOOKUP(Financeiros[[#This Row],[Tipo]],RefTabTipo[],3,FALSE),0)</f>
        <v>60</v>
      </c>
      <c r="J11" s="1620">
        <f>IFERROR(VLOOKUP(Financeiros[[#This Row],[Tipo]],RefTabTipo[],4,FALSE),0)</f>
        <v>999</v>
      </c>
      <c r="K11" s="1649">
        <f>IFERROR(VLOOKUP(Financeiros[[#This Row],[Grupo Tarifário]],RefTabGrupoTarifa[],2,FALSE),0)</f>
        <v>2</v>
      </c>
      <c r="L11" s="1619">
        <f>IFERROR(VLOOKUP(Financeiros[[#This Row],[Grupo Tarifário]],RefTabGrupoTarifa[],3,FALSE),0)</f>
        <v>9</v>
      </c>
      <c r="M11" s="1649">
        <f>IFERROR(VLOOKUP(Financeiros[[#This Row],[Grupo Tarifário]],RefTabGrupoTarifa[],4,FALSE),0)</f>
        <v>9</v>
      </c>
      <c r="O11" s="1592" t="s">
        <v>2232</v>
      </c>
      <c r="P11" s="1593">
        <v>22</v>
      </c>
      <c r="Q11" s="1593">
        <v>60</v>
      </c>
      <c r="R11" s="1594">
        <v>167</v>
      </c>
      <c r="T11" s="847" t="s">
        <v>2243</v>
      </c>
      <c r="U11" s="1464">
        <v>99</v>
      </c>
      <c r="V11" s="1464">
        <v>999</v>
      </c>
      <c r="W11" s="1464">
        <v>3</v>
      </c>
    </row>
    <row r="12" spans="3:23" ht="16.5">
      <c r="C12" s="1654" t="s">
        <v>2290</v>
      </c>
      <c r="D12" s="1655">
        <f ca="1">IFERROR(ABS(Indexador!$D$49)*'Tributos suprimento'!$D$41*H4,0)</f>
        <v>4706.9927208376503</v>
      </c>
      <c r="E12" s="1630">
        <f t="shared" ca="1" si="0"/>
        <v>8.8913567033009394E-4</v>
      </c>
      <c r="F12" s="1618" t="s">
        <v>2237</v>
      </c>
      <c r="G12" s="1637" t="s">
        <v>2262</v>
      </c>
      <c r="H12" s="1619">
        <f>IFERROR(VLOOKUP(Financeiros[[#This Row],[Tipo]],RefTabTipo[],2,FALSE),0)</f>
        <v>22</v>
      </c>
      <c r="I12" s="1643">
        <f>IFERROR(VLOOKUP(Financeiros[[#This Row],[Tipo]],RefTabTipo[],3,FALSE),0)</f>
        <v>60</v>
      </c>
      <c r="J12" s="1620">
        <f>IFERROR(VLOOKUP(Financeiros[[#This Row],[Tipo]],RefTabTipo[],4,FALSE),0)</f>
        <v>999</v>
      </c>
      <c r="K12" s="1649">
        <f>IFERROR(VLOOKUP(Financeiros[[#This Row],[Grupo Tarifário]],RefTabGrupoTarifa[],2,FALSE),0)</f>
        <v>2</v>
      </c>
      <c r="L12" s="1619">
        <f>IFERROR(VLOOKUP(Financeiros[[#This Row],[Grupo Tarifário]],RefTabGrupoTarifa[],3,FALSE),0)</f>
        <v>8</v>
      </c>
      <c r="M12" s="1649">
        <f>IFERROR(VLOOKUP(Financeiros[[#This Row],[Grupo Tarifário]],RefTabGrupoTarifa[],4,FALSE),0)</f>
        <v>9</v>
      </c>
      <c r="O12" s="1592" t="s">
        <v>2233</v>
      </c>
      <c r="P12" s="1593">
        <v>22</v>
      </c>
      <c r="Q12" s="1593">
        <v>60</v>
      </c>
      <c r="R12" s="1594">
        <v>241</v>
      </c>
      <c r="T12" s="847" t="s">
        <v>2244</v>
      </c>
      <c r="U12" s="847">
        <v>3</v>
      </c>
      <c r="V12" s="847">
        <v>17</v>
      </c>
      <c r="W12" s="847">
        <v>9</v>
      </c>
    </row>
    <row r="13" spans="3:23" ht="16.5">
      <c r="C13" s="1654" t="s">
        <v>2291</v>
      </c>
      <c r="D13" s="1655">
        <f ca="1">IFERROR(ABS(Indexador!$D$49)*'Tributos suprimento'!$D$41*H5,0)</f>
        <v>36.679387299929758</v>
      </c>
      <c r="E13" s="1630">
        <f t="shared" ca="1" si="0"/>
        <v>6.9286173887297663E-6</v>
      </c>
      <c r="F13" s="1618" t="s">
        <v>2237</v>
      </c>
      <c r="G13" s="1637" t="s">
        <v>2260</v>
      </c>
      <c r="H13" s="1619">
        <f>IFERROR(VLOOKUP(Financeiros[[#This Row],[Tipo]],RefTabTipo[],2,FALSE),0)</f>
        <v>22</v>
      </c>
      <c r="I13" s="1643">
        <f>IFERROR(VLOOKUP(Financeiros[[#This Row],[Tipo]],RefTabTipo[],3,FALSE),0)</f>
        <v>60</v>
      </c>
      <c r="J13" s="1620">
        <f>IFERROR(VLOOKUP(Financeiros[[#This Row],[Tipo]],RefTabTipo[],4,FALSE),0)</f>
        <v>999</v>
      </c>
      <c r="K13" s="1649">
        <f>IFERROR(VLOOKUP(Financeiros[[#This Row],[Grupo Tarifário]],RefTabGrupoTarifa[],2,FALSE),0)</f>
        <v>2</v>
      </c>
      <c r="L13" s="1619">
        <f>IFERROR(VLOOKUP(Financeiros[[#This Row],[Grupo Tarifário]],RefTabGrupoTarifa[],3,FALSE),0)</f>
        <v>10</v>
      </c>
      <c r="M13" s="1649">
        <f>IFERROR(VLOOKUP(Financeiros[[#This Row],[Grupo Tarifário]],RefTabGrupoTarifa[],4,FALSE),0)</f>
        <v>9</v>
      </c>
      <c r="O13" s="1592" t="s">
        <v>2234</v>
      </c>
      <c r="P13" s="1593">
        <v>22</v>
      </c>
      <c r="Q13" s="1593">
        <v>60</v>
      </c>
      <c r="R13" s="1594">
        <v>120</v>
      </c>
      <c r="T13" s="847" t="s">
        <v>2245</v>
      </c>
      <c r="U13" s="847">
        <v>3</v>
      </c>
      <c r="V13" s="847">
        <v>13</v>
      </c>
      <c r="W13" s="847">
        <v>9</v>
      </c>
    </row>
    <row r="14" spans="3:23" ht="16.5">
      <c r="C14" s="1654" t="s">
        <v>2292</v>
      </c>
      <c r="D14" s="1655">
        <f ca="1">IFERROR(ABS(Indexador!$D$49)*'Tributos suprimento'!$D$41*H6,0)</f>
        <v>271.26255191226846</v>
      </c>
      <c r="E14" s="1630">
        <f t="shared" ca="1" si="0"/>
        <v>5.1240616936209114E-5</v>
      </c>
      <c r="F14" s="1618" t="s">
        <v>2237</v>
      </c>
      <c r="G14" s="1637" t="s">
        <v>2261</v>
      </c>
      <c r="H14" s="1619">
        <f>IFERROR(VLOOKUP(Financeiros[[#This Row],[Tipo]],RefTabTipo[],2,FALSE),0)</f>
        <v>22</v>
      </c>
      <c r="I14" s="1643">
        <f>IFERROR(VLOOKUP(Financeiros[[#This Row],[Tipo]],RefTabTipo[],3,FALSE),0)</f>
        <v>60</v>
      </c>
      <c r="J14" s="1620">
        <f>IFERROR(VLOOKUP(Financeiros[[#This Row],[Tipo]],RefTabTipo[],4,FALSE),0)</f>
        <v>999</v>
      </c>
      <c r="K14" s="1649">
        <f>IFERROR(VLOOKUP(Financeiros[[#This Row],[Grupo Tarifário]],RefTabGrupoTarifa[],2,FALSE),0)</f>
        <v>2</v>
      </c>
      <c r="L14" s="1619">
        <f>IFERROR(VLOOKUP(Financeiros[[#This Row],[Grupo Tarifário]],RefTabGrupoTarifa[],3,FALSE),0)</f>
        <v>24</v>
      </c>
      <c r="M14" s="1649">
        <f>IFERROR(VLOOKUP(Financeiros[[#This Row],[Grupo Tarifário]],RefTabGrupoTarifa[],4,FALSE),0)</f>
        <v>9</v>
      </c>
      <c r="O14" s="1592" t="s">
        <v>2235</v>
      </c>
      <c r="P14" s="1593">
        <v>22</v>
      </c>
      <c r="Q14" s="1593">
        <v>60</v>
      </c>
      <c r="R14" s="1594">
        <v>240</v>
      </c>
      <c r="T14" s="847" t="s">
        <v>2246</v>
      </c>
      <c r="U14" s="847">
        <v>3</v>
      </c>
      <c r="V14" s="847">
        <v>25</v>
      </c>
      <c r="W14" s="847">
        <v>9</v>
      </c>
    </row>
    <row r="15" spans="3:23" ht="16.5">
      <c r="C15" s="1625" t="str">
        <f>"(Neutralidade) "&amp;Encargos!L31</f>
        <v>(Neutralidade) TFSEE</v>
      </c>
      <c r="D15" s="1621">
        <f ca="1">Encargos!$M$31</f>
        <v>173.53224665300522</v>
      </c>
      <c r="E15" s="1628">
        <f t="shared" ca="1" si="0"/>
        <v>3.2779679001553475E-5</v>
      </c>
      <c r="F15" s="1622" t="s">
        <v>107</v>
      </c>
      <c r="G15" s="1635" t="s">
        <v>2256</v>
      </c>
      <c r="H15" s="1623">
        <f>IFERROR(VLOOKUP(Financeiros[[#This Row],[Tipo]],RefTabTipo[],2,FALSE),0)</f>
        <v>20</v>
      </c>
      <c r="I15" s="1641">
        <f>IFERROR(VLOOKUP(Financeiros[[#This Row],[Tipo]],RefTabTipo[],3,FALSE),0)</f>
        <v>60</v>
      </c>
      <c r="J15" s="1624">
        <f>IFERROR(VLOOKUP(Financeiros[[#This Row],[Tipo]],RefTabTipo[],4,FALSE),0)</f>
        <v>999</v>
      </c>
      <c r="K15" s="1648">
        <f>IFERROR(VLOOKUP(Financeiros[[#This Row],[Grupo Tarifário]],RefTabGrupoTarifa[],2,FALSE),0)</f>
        <v>3</v>
      </c>
      <c r="L15" s="1623">
        <f>IFERROR(VLOOKUP(Financeiros[[#This Row],[Grupo Tarifário]],RefTabGrupoTarifa[],3,FALSE),0)</f>
        <v>14</v>
      </c>
      <c r="M15" s="1648">
        <f>IFERROR(VLOOKUP(Financeiros[[#This Row],[Grupo Tarifário]],RefTabGrupoTarifa[],4,FALSE),0)</f>
        <v>9</v>
      </c>
      <c r="O15" s="1592" t="s">
        <v>2236</v>
      </c>
      <c r="P15" s="1593">
        <v>22</v>
      </c>
      <c r="Q15" s="1593">
        <v>60</v>
      </c>
      <c r="R15" s="1594">
        <v>179</v>
      </c>
      <c r="T15" s="847" t="s">
        <v>2247</v>
      </c>
      <c r="U15" s="847">
        <v>3</v>
      </c>
      <c r="V15" s="847">
        <v>15</v>
      </c>
      <c r="W15" s="847">
        <v>9</v>
      </c>
    </row>
    <row r="16" spans="3:23" ht="16.5">
      <c r="C16" s="1625" t="str">
        <f>"(Neutralidade) "&amp;Encargos!L32</f>
        <v>(Neutralidade) CDE</v>
      </c>
      <c r="D16" s="1621">
        <f ca="1">IFERROR(Encargos!$M$32,0)</f>
        <v>18158.155841082949</v>
      </c>
      <c r="E16" s="1628">
        <f t="shared" ca="1" si="0"/>
        <v>3.4300167906030762E-3</v>
      </c>
      <c r="F16" s="1622" t="s">
        <v>107</v>
      </c>
      <c r="G16" s="1635" t="s">
        <v>2247</v>
      </c>
      <c r="H16" s="1623">
        <f>IFERROR(VLOOKUP(Financeiros[[#This Row],[Tipo]],RefTabTipo[],2,FALSE),0)</f>
        <v>20</v>
      </c>
      <c r="I16" s="1641">
        <f>IFERROR(VLOOKUP(Financeiros[[#This Row],[Tipo]],RefTabTipo[],3,FALSE),0)</f>
        <v>60</v>
      </c>
      <c r="J16" s="1624">
        <f>IFERROR(VLOOKUP(Financeiros[[#This Row],[Tipo]],RefTabTipo[],4,FALSE),0)</f>
        <v>999</v>
      </c>
      <c r="K16" s="1648">
        <f>IFERROR(VLOOKUP(Financeiros[[#This Row],[Grupo Tarifário]],RefTabGrupoTarifa[],2,FALSE),0)</f>
        <v>3</v>
      </c>
      <c r="L16" s="1623">
        <f>IFERROR(VLOOKUP(Financeiros[[#This Row],[Grupo Tarifário]],RefTabGrupoTarifa[],3,FALSE),0)</f>
        <v>15</v>
      </c>
      <c r="M16" s="1648">
        <f>IFERROR(VLOOKUP(Financeiros[[#This Row],[Grupo Tarifário]],RefTabGrupoTarifa[],4,FALSE),0)</f>
        <v>9</v>
      </c>
      <c r="O16" s="1592" t="s">
        <v>2237</v>
      </c>
      <c r="P16" s="1593">
        <v>22</v>
      </c>
      <c r="Q16" s="1593">
        <v>60</v>
      </c>
      <c r="R16" s="1594">
        <v>999</v>
      </c>
      <c r="T16" s="847" t="s">
        <v>2248</v>
      </c>
      <c r="U16" s="1464">
        <v>3</v>
      </c>
      <c r="V16" s="1464">
        <v>25</v>
      </c>
      <c r="W16" s="1464">
        <v>9</v>
      </c>
    </row>
    <row r="17" spans="3:23" ht="16.5">
      <c r="C17" s="1625" t="str">
        <f>"(Neutralidade) "&amp;Encargos!L33</f>
        <v>(Neutralidade) CFURH</v>
      </c>
      <c r="D17" s="1621">
        <f>Encargos!$M$33</f>
        <v>0</v>
      </c>
      <c r="E17" s="1628">
        <f t="shared" ca="1" si="0"/>
        <v>0</v>
      </c>
      <c r="F17" s="1622" t="s">
        <v>107</v>
      </c>
      <c r="G17" s="1635" t="s">
        <v>2251</v>
      </c>
      <c r="H17" s="1623">
        <f>IFERROR(VLOOKUP(Financeiros[[#This Row],[Tipo]],RefTabTipo[],2,FALSE),0)</f>
        <v>20</v>
      </c>
      <c r="I17" s="1641">
        <f>IFERROR(VLOOKUP(Financeiros[[#This Row],[Tipo]],RefTabTipo[],3,FALSE),0)</f>
        <v>60</v>
      </c>
      <c r="J17" s="1624">
        <f>IFERROR(VLOOKUP(Financeiros[[#This Row],[Tipo]],RefTabTipo[],4,FALSE),0)</f>
        <v>999</v>
      </c>
      <c r="K17" s="1648">
        <f>IFERROR(VLOOKUP(Financeiros[[#This Row],[Grupo Tarifário]],RefTabGrupoTarifa[],2,FALSE),0)</f>
        <v>3</v>
      </c>
      <c r="L17" s="1623">
        <f>IFERROR(VLOOKUP(Financeiros[[#This Row],[Grupo Tarifário]],RefTabGrupoTarifa[],3,FALSE),0)</f>
        <v>16</v>
      </c>
      <c r="M17" s="1648">
        <f>IFERROR(VLOOKUP(Financeiros[[#This Row],[Grupo Tarifário]],RefTabGrupoTarifa[],4,FALSE),0)</f>
        <v>9</v>
      </c>
      <c r="O17" s="1592" t="s">
        <v>107</v>
      </c>
      <c r="P17" s="1593">
        <v>20</v>
      </c>
      <c r="Q17" s="1593">
        <v>60</v>
      </c>
      <c r="R17" s="1594">
        <v>999</v>
      </c>
      <c r="T17" s="847" t="s">
        <v>2249</v>
      </c>
      <c r="U17" s="1464">
        <v>3</v>
      </c>
      <c r="V17" s="1464">
        <v>12</v>
      </c>
      <c r="W17" s="1464">
        <v>9</v>
      </c>
    </row>
    <row r="18" spans="3:23" ht="16.5">
      <c r="C18" s="1625" t="str">
        <f>"(Neutralidade) "&amp;Encargos!L34</f>
        <v>(Neutralidade) ESS/ERR</v>
      </c>
      <c r="D18" s="1621">
        <f ca="1">Encargos!$M$34</f>
        <v>1698.6354115497932</v>
      </c>
      <c r="E18" s="1628">
        <f t="shared" ca="1" si="0"/>
        <v>3.2086672422684055E-4</v>
      </c>
      <c r="F18" s="1622" t="s">
        <v>107</v>
      </c>
      <c r="G18" s="1635" t="s">
        <v>2244</v>
      </c>
      <c r="H18" s="1623">
        <f>IFERROR(VLOOKUP(Financeiros[[#This Row],[Tipo]],RefTabTipo[],2,FALSE),0)</f>
        <v>20</v>
      </c>
      <c r="I18" s="1641">
        <f>IFERROR(VLOOKUP(Financeiros[[#This Row],[Tipo]],RefTabTipo[],3,FALSE),0)</f>
        <v>60</v>
      </c>
      <c r="J18" s="1624">
        <f>IFERROR(VLOOKUP(Financeiros[[#This Row],[Tipo]],RefTabTipo[],4,FALSE),0)</f>
        <v>999</v>
      </c>
      <c r="K18" s="1648">
        <f>IFERROR(VLOOKUP(Financeiros[[#This Row],[Grupo Tarifário]],RefTabGrupoTarifa[],2,FALSE),0)</f>
        <v>3</v>
      </c>
      <c r="L18" s="1623">
        <f>IFERROR(VLOOKUP(Financeiros[[#This Row],[Grupo Tarifário]],RefTabGrupoTarifa[],3,FALSE),0)</f>
        <v>17</v>
      </c>
      <c r="M18" s="1648">
        <f>IFERROR(VLOOKUP(Financeiros[[#This Row],[Grupo Tarifário]],RefTabGrupoTarifa[],4,FALSE),0)</f>
        <v>9</v>
      </c>
      <c r="O18" s="1592" t="s">
        <v>2238</v>
      </c>
      <c r="P18" s="1593">
        <v>20</v>
      </c>
      <c r="Q18" s="1593">
        <v>60</v>
      </c>
      <c r="R18" s="1594">
        <v>179</v>
      </c>
      <c r="T18" s="847" t="s">
        <v>2250</v>
      </c>
      <c r="U18" s="1464">
        <v>3</v>
      </c>
      <c r="V18" s="1464">
        <v>28</v>
      </c>
      <c r="W18" s="1464">
        <v>9</v>
      </c>
    </row>
    <row r="19" spans="3:23" ht="16.5">
      <c r="C19" s="1625" t="str">
        <f>"(Neutralidade) "&amp;Encargos!L35</f>
        <v>(Neutralidade) PROINFA</v>
      </c>
      <c r="D19" s="1621">
        <f ca="1">Encargos!$M$35</f>
        <v>3312.513298166989</v>
      </c>
      <c r="E19" s="1628">
        <f t="shared" ca="1" si="0"/>
        <v>6.2572302667995611E-4</v>
      </c>
      <c r="F19" s="1622" t="s">
        <v>107</v>
      </c>
      <c r="G19" s="1635" t="s">
        <v>2254</v>
      </c>
      <c r="H19" s="1623">
        <f>IFERROR(VLOOKUP(Financeiros[[#This Row],[Tipo]],RefTabTipo[],2,FALSE),0)</f>
        <v>20</v>
      </c>
      <c r="I19" s="1641">
        <f>IFERROR(VLOOKUP(Financeiros[[#This Row],[Tipo]],RefTabTipo[],3,FALSE),0)</f>
        <v>60</v>
      </c>
      <c r="J19" s="1624">
        <f>IFERROR(VLOOKUP(Financeiros[[#This Row],[Tipo]],RefTabTipo[],4,FALSE),0)</f>
        <v>999</v>
      </c>
      <c r="K19" s="1648">
        <f>IFERROR(VLOOKUP(Financeiros[[#This Row],[Grupo Tarifário]],RefTabGrupoTarifa[],2,FALSE),0)</f>
        <v>3</v>
      </c>
      <c r="L19" s="1623">
        <f>IFERROR(VLOOKUP(Financeiros[[#This Row],[Grupo Tarifário]],RefTabGrupoTarifa[],3,FALSE),0)</f>
        <v>18</v>
      </c>
      <c r="M19" s="1648">
        <f>IFERROR(VLOOKUP(Financeiros[[#This Row],[Grupo Tarifário]],RefTabGrupoTarifa[],4,FALSE),0)</f>
        <v>9</v>
      </c>
      <c r="O19" s="68" t="s">
        <v>2278</v>
      </c>
      <c r="P19" s="1665">
        <v>22</v>
      </c>
      <c r="Q19" s="1665">
        <v>60</v>
      </c>
      <c r="R19" s="1665">
        <v>220</v>
      </c>
      <c r="T19" s="847" t="s">
        <v>2251</v>
      </c>
      <c r="U19" s="847">
        <v>3</v>
      </c>
      <c r="V19" s="847">
        <v>16</v>
      </c>
      <c r="W19" s="847">
        <v>9</v>
      </c>
    </row>
    <row r="20" spans="3:23" ht="16.5">
      <c r="C20" s="1625" t="str">
        <f>"(Neutralidade) "&amp;Encargos!L36</f>
        <v>(Neutralidade) CDE COVID</v>
      </c>
      <c r="D20" s="1621">
        <f ca="1">Encargos!$M$36</f>
        <v>0</v>
      </c>
      <c r="E20" s="1628">
        <f t="shared" ca="1" si="0"/>
        <v>0</v>
      </c>
      <c r="F20" s="1622" t="s">
        <v>107</v>
      </c>
      <c r="G20" s="1635" t="s">
        <v>2249</v>
      </c>
      <c r="H20" s="1623">
        <f>IFERROR(VLOOKUP(Financeiros[[#This Row],[Tipo]],RefTabTipo[],2,FALSE),0)</f>
        <v>20</v>
      </c>
      <c r="I20" s="1641">
        <f>IFERROR(VLOOKUP(Financeiros[[#This Row],[Tipo]],RefTabTipo[],3,FALSE),0)</f>
        <v>60</v>
      </c>
      <c r="J20" s="1624">
        <f>IFERROR(VLOOKUP(Financeiros[[#This Row],[Tipo]],RefTabTipo[],4,FALSE),0)</f>
        <v>999</v>
      </c>
      <c r="K20" s="1648">
        <f>IFERROR(VLOOKUP(Financeiros[[#This Row],[Grupo Tarifário]],RefTabGrupoTarifa[],2,FALSE),0)</f>
        <v>3</v>
      </c>
      <c r="L20" s="1623">
        <f>IFERROR(VLOOKUP(Financeiros[[#This Row],[Grupo Tarifário]],RefTabGrupoTarifa[],3,FALSE),0)</f>
        <v>12</v>
      </c>
      <c r="M20" s="1648">
        <f>IFERROR(VLOOKUP(Financeiros[[#This Row],[Grupo Tarifário]],RefTabGrupoTarifa[],4,FALSE),0)</f>
        <v>9</v>
      </c>
      <c r="O20" s="1666" t="s">
        <v>2239</v>
      </c>
      <c r="P20" s="1667">
        <v>22</v>
      </c>
      <c r="Q20" s="1667">
        <v>60</v>
      </c>
      <c r="R20" s="1667">
        <v>178</v>
      </c>
      <c r="T20" s="847" t="s">
        <v>2252</v>
      </c>
      <c r="U20" s="847">
        <v>3</v>
      </c>
      <c r="V20" s="847">
        <v>20</v>
      </c>
      <c r="W20" s="847">
        <v>9</v>
      </c>
    </row>
    <row r="21" spans="3:23" ht="16.5">
      <c r="C21" s="1625" t="str">
        <f>"(Neutralidade) "&amp;Encargos!L37</f>
        <v>(Neutralidade) P&amp;D</v>
      </c>
      <c r="D21" s="1621">
        <f ca="1">Encargos!$M$37</f>
        <v>0</v>
      </c>
      <c r="E21" s="1628">
        <f t="shared" ca="1" si="0"/>
        <v>0</v>
      </c>
      <c r="F21" s="1622" t="s">
        <v>107</v>
      </c>
      <c r="G21" s="1635" t="s">
        <v>2253</v>
      </c>
      <c r="H21" s="1623">
        <f>IFERROR(VLOOKUP(Financeiros[[#This Row],[Tipo]],RefTabTipo[],2,FALSE),0)</f>
        <v>20</v>
      </c>
      <c r="I21" s="1641">
        <f>IFERROR(VLOOKUP(Financeiros[[#This Row],[Tipo]],RefTabTipo[],3,FALSE),0)</f>
        <v>60</v>
      </c>
      <c r="J21" s="1624">
        <f>IFERROR(VLOOKUP(Financeiros[[#This Row],[Tipo]],RefTabTipo[],4,FALSE),0)</f>
        <v>999</v>
      </c>
      <c r="K21" s="1648">
        <f>IFERROR(VLOOKUP(Financeiros[[#This Row],[Grupo Tarifário]],RefTabGrupoTarifa[],2,FALSE),0)</f>
        <v>3</v>
      </c>
      <c r="L21" s="1623">
        <f>IFERROR(VLOOKUP(Financeiros[[#This Row],[Grupo Tarifário]],RefTabGrupoTarifa[],3,FALSE),0)</f>
        <v>19</v>
      </c>
      <c r="M21" s="1648">
        <f>IFERROR(VLOOKUP(Financeiros[[#This Row],[Grupo Tarifário]],RefTabGrupoTarifa[],4,FALSE),0)</f>
        <v>9</v>
      </c>
      <c r="O21" s="1666" t="s">
        <v>1307</v>
      </c>
      <c r="P21" s="1667">
        <v>22</v>
      </c>
      <c r="Q21" s="1667">
        <v>62</v>
      </c>
      <c r="R21" s="1667">
        <v>220</v>
      </c>
      <c r="T21" s="847" t="s">
        <v>2253</v>
      </c>
      <c r="U21" s="847">
        <v>3</v>
      </c>
      <c r="V21" s="847">
        <v>19</v>
      </c>
      <c r="W21" s="847">
        <v>9</v>
      </c>
    </row>
    <row r="22" spans="3:23" ht="16.5">
      <c r="C22" s="1625" t="str">
        <f>"(Neutralidade)" &amp; Encargos!L41</f>
        <v>(Neutralidade)Financeiro Covid</v>
      </c>
      <c r="D22" s="1621">
        <f ca="1">Encargos!$M$41</f>
        <v>0</v>
      </c>
      <c r="E22" s="1628">
        <f t="shared" ca="1" si="0"/>
        <v>0</v>
      </c>
      <c r="F22" s="1622" t="s">
        <v>107</v>
      </c>
      <c r="G22" s="1635" t="s">
        <v>104</v>
      </c>
      <c r="H22" s="1623">
        <f>IFERROR(VLOOKUP(Financeiros[[#This Row],[Tipo]],RefTabTipo[],2,FALSE),0)</f>
        <v>20</v>
      </c>
      <c r="I22" s="1641">
        <f>IFERROR(VLOOKUP(Financeiros[[#This Row],[Tipo]],RefTabTipo[],3,FALSE),0)</f>
        <v>60</v>
      </c>
      <c r="J22" s="1624">
        <f>IFERROR(VLOOKUP(Financeiros[[#This Row],[Tipo]],RefTabTipo[],4,FALSE),0)</f>
        <v>999</v>
      </c>
      <c r="K22" s="1648">
        <f>IFERROR(VLOOKUP(Financeiros[[#This Row],[Grupo Tarifário]],RefTabGrupoTarifa[],2,FALSE),0)</f>
        <v>4</v>
      </c>
      <c r="L22" s="1623">
        <f>IFERROR(VLOOKUP(Financeiros[[#This Row],[Grupo Tarifário]],RefTabGrupoTarifa[],3,FALSE),0)</f>
        <v>999</v>
      </c>
      <c r="M22" s="1648">
        <f>IFERROR(VLOOKUP(Financeiros[[#This Row],[Grupo Tarifário]],RefTabGrupoTarifa[],4,FALSE),0)</f>
        <v>9</v>
      </c>
      <c r="O22" s="1592" t="s">
        <v>2240</v>
      </c>
      <c r="P22" s="1595">
        <v>22</v>
      </c>
      <c r="Q22" s="1595">
        <v>60</v>
      </c>
      <c r="R22" s="1595">
        <v>106</v>
      </c>
      <c r="T22" s="847" t="s">
        <v>2254</v>
      </c>
      <c r="U22" s="847">
        <v>3</v>
      </c>
      <c r="V22" s="847">
        <v>18</v>
      </c>
      <c r="W22" s="847">
        <v>9</v>
      </c>
    </row>
    <row r="23" spans="3:23" ht="16.5">
      <c r="C23" s="1625" t="str">
        <f>"(Neutralidade)" &amp; Encargos!L42</f>
        <v>(Neutralidade)Crédito Pis Cofins</v>
      </c>
      <c r="D23" s="1621">
        <f ca="1">Encargos!$M$42</f>
        <v>0</v>
      </c>
      <c r="E23" s="1628">
        <f t="shared" ca="1" si="0"/>
        <v>0</v>
      </c>
      <c r="F23" s="1622" t="s">
        <v>2238</v>
      </c>
      <c r="G23" s="1635" t="s">
        <v>2243</v>
      </c>
      <c r="H23" s="1623">
        <f>IFERROR(VLOOKUP(Financeiros[[#This Row],[Tipo]],RefTabTipo[],2,FALSE),0)</f>
        <v>20</v>
      </c>
      <c r="I23" s="1641">
        <f>IFERROR(VLOOKUP(Financeiros[[#This Row],[Tipo]],RefTabTipo[],3,FALSE),0)</f>
        <v>60</v>
      </c>
      <c r="J23" s="1624">
        <f>IFERROR(VLOOKUP(Financeiros[[#This Row],[Tipo]],RefTabTipo[],4,FALSE),0)</f>
        <v>179</v>
      </c>
      <c r="K23" s="1648">
        <f>IFERROR(VLOOKUP(Financeiros[[#This Row],[Grupo Tarifário]],RefTabGrupoTarifa[],2,FALSE),0)</f>
        <v>99</v>
      </c>
      <c r="L23" s="1623">
        <f>IFERROR(VLOOKUP(Financeiros[[#This Row],[Grupo Tarifário]],RefTabGrupoTarifa[],3,FALSE),0)</f>
        <v>999</v>
      </c>
      <c r="M23" s="1648">
        <f>IFERROR(VLOOKUP(Financeiros[[#This Row],[Grupo Tarifário]],RefTabGrupoTarifa[],4,FALSE),0)</f>
        <v>3</v>
      </c>
      <c r="O23" s="68" t="s">
        <v>2393</v>
      </c>
      <c r="P23" s="68">
        <v>22</v>
      </c>
      <c r="Q23" s="68">
        <v>60</v>
      </c>
      <c r="R23" s="68">
        <v>242</v>
      </c>
      <c r="T23" s="847" t="s">
        <v>2255</v>
      </c>
      <c r="U23" s="847">
        <v>3</v>
      </c>
      <c r="V23" s="847">
        <v>12</v>
      </c>
      <c r="W23" s="847">
        <v>9</v>
      </c>
    </row>
    <row r="24" spans="3:23" ht="16.5">
      <c r="C24" s="1656" t="s">
        <v>1291</v>
      </c>
      <c r="D24" s="1657">
        <f>IFERROR((Indexador!J49+Indexador!P49)*Resultado!D25/(Resultado!D25+Resultado!D26),0)</f>
        <v>0</v>
      </c>
      <c r="E24" s="1658">
        <f t="shared" ca="1" si="0"/>
        <v>0</v>
      </c>
      <c r="F24" s="1659" t="s">
        <v>2237</v>
      </c>
      <c r="G24" s="1660" t="s">
        <v>2272</v>
      </c>
      <c r="H24" s="1661">
        <f>IFERROR(VLOOKUP(Financeiros[[#This Row],[Tipo]],RefTabTipo[],2,FALSE),0)</f>
        <v>22</v>
      </c>
      <c r="I24" s="1662">
        <f>IFERROR(VLOOKUP(Financeiros[[#This Row],[Tipo]],RefTabTipo[],3,FALSE),0)</f>
        <v>60</v>
      </c>
      <c r="J24" s="1663">
        <f>IFERROR(VLOOKUP(Financeiros[[#This Row],[Tipo]],RefTabTipo[],4,FALSE),0)</f>
        <v>999</v>
      </c>
      <c r="K24" s="1664">
        <f>IFERROR(VLOOKUP(Financeiros[[#This Row],[Grupo Tarifário]],RefTabGrupoTarifa[],2,FALSE),0)</f>
        <v>1</v>
      </c>
      <c r="L24" s="1661">
        <f>IFERROR(VLOOKUP(Financeiros[[#This Row],[Grupo Tarifário]],RefTabGrupoTarifa[],3,FALSE),0)</f>
        <v>1</v>
      </c>
      <c r="M24" s="1664">
        <f>IFERROR(VLOOKUP(Financeiros[[#This Row],[Grupo Tarifário]],RefTabGrupoTarifa[],4,FALSE),0)</f>
        <v>9</v>
      </c>
      <c r="T24" s="847" t="s">
        <v>2256</v>
      </c>
      <c r="U24" s="847">
        <v>3</v>
      </c>
      <c r="V24" s="847">
        <v>14</v>
      </c>
      <c r="W24" s="847">
        <v>9</v>
      </c>
    </row>
    <row r="25" spans="3:23" ht="16.5">
      <c r="C25" s="1656" t="s">
        <v>1292</v>
      </c>
      <c r="D25" s="1657">
        <f>IFERROR((Indexador!J49+Indexador!P49)*Resultado!D26/(Resultado!D25+Resultado!D26),0)</f>
        <v>0</v>
      </c>
      <c r="E25" s="1658">
        <f t="shared" ca="1" si="0"/>
        <v>0</v>
      </c>
      <c r="F25" s="1659" t="s">
        <v>2237</v>
      </c>
      <c r="G25" s="1660" t="s">
        <v>2271</v>
      </c>
      <c r="H25" s="1661">
        <f>IFERROR(VLOOKUP(Financeiros[[#This Row],[Tipo]],RefTabTipo[],2,FALSE),0)</f>
        <v>22</v>
      </c>
      <c r="I25" s="1662">
        <f>IFERROR(VLOOKUP(Financeiros[[#This Row],[Tipo]],RefTabTipo[],3,FALSE),0)</f>
        <v>60</v>
      </c>
      <c r="J25" s="1663">
        <f>IFERROR(VLOOKUP(Financeiros[[#This Row],[Tipo]],RefTabTipo[],4,FALSE),0)</f>
        <v>999</v>
      </c>
      <c r="K25" s="1664">
        <f>IFERROR(VLOOKUP(Financeiros[[#This Row],[Grupo Tarifário]],RefTabGrupoTarifa[],2,FALSE),0)</f>
        <v>1</v>
      </c>
      <c r="L25" s="1661">
        <f>IFERROR(VLOOKUP(Financeiros[[#This Row],[Grupo Tarifário]],RefTabGrupoTarifa[],3,FALSE),0)</f>
        <v>2</v>
      </c>
      <c r="M25" s="1664">
        <f>IFERROR(VLOOKUP(Financeiros[[#This Row],[Grupo Tarifário]],RefTabGrupoTarifa[],4,FALSE),0)</f>
        <v>9</v>
      </c>
      <c r="T25" s="847" t="s">
        <v>2257</v>
      </c>
      <c r="U25" s="847">
        <v>2</v>
      </c>
      <c r="V25" s="847">
        <v>11</v>
      </c>
      <c r="W25" s="847">
        <v>9</v>
      </c>
    </row>
    <row r="26" spans="3:23" ht="16.5">
      <c r="C26" s="1668" t="s">
        <v>1293</v>
      </c>
      <c r="D26" s="1669">
        <v>0</v>
      </c>
      <c r="E26" s="1632">
        <f t="shared" ca="1" si="0"/>
        <v>0</v>
      </c>
      <c r="F26" s="1612" t="s">
        <v>2232</v>
      </c>
      <c r="G26" s="1639" t="s">
        <v>104</v>
      </c>
      <c r="H26" s="1613">
        <f>IFERROR(VLOOKUP(Financeiros[[#This Row],[Tipo]],RefTabTipo[],2,FALSE),0)</f>
        <v>22</v>
      </c>
      <c r="I26" s="1645">
        <f>IFERROR(VLOOKUP(Financeiros[[#This Row],[Tipo]],RefTabTipo[],3,FALSE),0)</f>
        <v>60</v>
      </c>
      <c r="J26" s="1614">
        <f>IFERROR(VLOOKUP(Financeiros[[#This Row],[Tipo]],RefTabTipo[],4,FALSE),0)</f>
        <v>167</v>
      </c>
      <c r="K26" s="1651">
        <f>IFERROR(VLOOKUP(Financeiros[[#This Row],[Grupo Tarifário]],RefTabGrupoTarifa[],2,FALSE),0)</f>
        <v>4</v>
      </c>
      <c r="L26" s="1613">
        <f>IFERROR(VLOOKUP(Financeiros[[#This Row],[Grupo Tarifário]],RefTabGrupoTarifa[],3,FALSE),0)</f>
        <v>999</v>
      </c>
      <c r="M26" s="1651">
        <f>IFERROR(VLOOKUP(Financeiros[[#This Row],[Grupo Tarifário]],RefTabGrupoTarifa[],4,FALSE),0)</f>
        <v>9</v>
      </c>
      <c r="T26" s="847" t="s">
        <v>2258</v>
      </c>
      <c r="U26" s="847">
        <v>2</v>
      </c>
      <c r="V26" s="847">
        <v>30</v>
      </c>
      <c r="W26" s="847">
        <v>9</v>
      </c>
    </row>
    <row r="27" spans="3:23" ht="16.5">
      <c r="C27" s="1668" t="s">
        <v>2069</v>
      </c>
      <c r="D27" s="1669"/>
      <c r="E27" s="1632">
        <f t="shared" ca="1" si="0"/>
        <v>0</v>
      </c>
      <c r="F27" s="1612" t="s">
        <v>2237</v>
      </c>
      <c r="G27" s="1639" t="s">
        <v>2250</v>
      </c>
      <c r="H27" s="1613">
        <f>IFERROR(VLOOKUP(Financeiros[[#This Row],[Tipo]],RefTabTipo[],2,FALSE),0)</f>
        <v>22</v>
      </c>
      <c r="I27" s="1645">
        <f>IFERROR(VLOOKUP(Financeiros[[#This Row],[Tipo]],RefTabTipo[],3,FALSE),0)</f>
        <v>60</v>
      </c>
      <c r="J27" s="1614">
        <f>IFERROR(VLOOKUP(Financeiros[[#This Row],[Tipo]],RefTabTipo[],4,FALSE),0)</f>
        <v>999</v>
      </c>
      <c r="K27" s="1651">
        <f>IFERROR(VLOOKUP(Financeiros[[#This Row],[Grupo Tarifário]],RefTabGrupoTarifa[],2,FALSE),0)</f>
        <v>3</v>
      </c>
      <c r="L27" s="1613">
        <f>IFERROR(VLOOKUP(Financeiros[[#This Row],[Grupo Tarifário]],RefTabGrupoTarifa[],3,FALSE),0)</f>
        <v>28</v>
      </c>
      <c r="M27" s="1651">
        <f>IFERROR(VLOOKUP(Financeiros[[#This Row],[Grupo Tarifário]],RefTabGrupoTarifa[],4,FALSE),0)</f>
        <v>9</v>
      </c>
      <c r="T27" s="847" t="s">
        <v>2259</v>
      </c>
      <c r="U27" s="847">
        <v>2</v>
      </c>
      <c r="V27" s="847">
        <v>9</v>
      </c>
      <c r="W27" s="847">
        <v>9</v>
      </c>
    </row>
    <row r="28" spans="3:23" ht="16.5">
      <c r="C28" s="1626" t="s">
        <v>2047</v>
      </c>
      <c r="D28" s="1454"/>
      <c r="E28" s="1629">
        <f t="shared" ca="1" si="0"/>
        <v>0</v>
      </c>
      <c r="F28" s="1606" t="s">
        <v>2237</v>
      </c>
      <c r="G28" s="1636" t="s">
        <v>2258</v>
      </c>
      <c r="H28" s="1611">
        <f>IFERROR(VLOOKUP(Financeiros[[#This Row],[Tipo]],RefTabTipo[],2,FALSE),0)</f>
        <v>22</v>
      </c>
      <c r="I28" s="1642">
        <f>IFERROR(VLOOKUP(Financeiros[[#This Row],[Tipo]],RefTabTipo[],3,FALSE),0)</f>
        <v>60</v>
      </c>
      <c r="J28" s="1611">
        <f>IFERROR(VLOOKUP(Financeiros[[#This Row],[Tipo]],RefTabTipo[],4,FALSE),0)</f>
        <v>999</v>
      </c>
      <c r="K28" s="1642">
        <f>IFERROR(VLOOKUP(Financeiros[[#This Row],[Grupo Tarifário]],RefTabGrupoTarifa[],2,FALSE),0)</f>
        <v>2</v>
      </c>
      <c r="L28" s="1611">
        <f>IFERROR(VLOOKUP(Financeiros[[#This Row],[Grupo Tarifário]],RefTabGrupoTarifa[],3,FALSE),0)</f>
        <v>30</v>
      </c>
      <c r="M28" s="1642">
        <f>IFERROR(VLOOKUP(Financeiros[[#This Row],[Grupo Tarifário]],RefTabGrupoTarifa[],4,FALSE),0)</f>
        <v>9</v>
      </c>
      <c r="T28" s="847" t="s">
        <v>2260</v>
      </c>
      <c r="U28" s="847">
        <v>2</v>
      </c>
      <c r="V28" s="847">
        <v>10</v>
      </c>
      <c r="W28" s="847">
        <v>9</v>
      </c>
    </row>
    <row r="29" spans="3:23" ht="16.5">
      <c r="C29" s="1627" t="s">
        <v>1294</v>
      </c>
      <c r="D29" s="1454">
        <f>(Indexador!H49)</f>
        <v>-19756.596540923529</v>
      </c>
      <c r="E29" s="1629">
        <f t="shared" ca="1" si="0"/>
        <v>-3.7319570585036261E-3</v>
      </c>
      <c r="F29" s="1674" t="s">
        <v>2239</v>
      </c>
      <c r="G29" s="1675" t="s">
        <v>2269</v>
      </c>
      <c r="H29" s="1676">
        <f>IFERROR(VLOOKUP(Financeiros[[#This Row],[Tipo]],RefTabTipo[],2,FALSE),0)</f>
        <v>22</v>
      </c>
      <c r="I29" s="1642">
        <f>IFERROR(VLOOKUP(Financeiros[[#This Row],[Tipo]],RefTabTipo[],3,FALSE),0)</f>
        <v>60</v>
      </c>
      <c r="J29" s="1611">
        <f>IFERROR(VLOOKUP(Financeiros[[#This Row],[Tipo]],RefTabTipo[],4,FALSE),0)</f>
        <v>178</v>
      </c>
      <c r="K29" s="1677">
        <f>IFERROR(VLOOKUP(Financeiros[[#This Row],[Grupo Tarifário]],RefTabGrupoTarifa[],2,FALSE),0)</f>
        <v>1</v>
      </c>
      <c r="L29" s="1676">
        <f>IFERROR(VLOOKUP(Financeiros[[#This Row],[Grupo Tarifário]],RefTabGrupoTarifa[],3,FALSE),0)</f>
        <v>7</v>
      </c>
      <c r="M29" s="1677">
        <f>IFERROR(VLOOKUP(Financeiros[[#This Row],[Grupo Tarifário]],RefTabGrupoTarifa[],4,FALSE),0)</f>
        <v>9</v>
      </c>
      <c r="T29" s="847" t="s">
        <v>2261</v>
      </c>
      <c r="U29" s="847">
        <v>2</v>
      </c>
      <c r="V29" s="847">
        <v>24</v>
      </c>
      <c r="W29" s="847">
        <v>9</v>
      </c>
    </row>
    <row r="30" spans="3:23" ht="16.5">
      <c r="C30" s="1627" t="s">
        <v>1295</v>
      </c>
      <c r="D30" s="1454">
        <f ca="1">-LnkTXTISubvencaoPB</f>
        <v>-1242268.5927623026</v>
      </c>
      <c r="E30" s="1629">
        <f t="shared" ca="1" si="0"/>
        <v>-0.23466051117223077</v>
      </c>
      <c r="F30" s="1674" t="s">
        <v>2393</v>
      </c>
      <c r="G30" s="1675" t="s">
        <v>104</v>
      </c>
      <c r="H30" s="1676">
        <f>IFERROR(VLOOKUP(Financeiros[[#This Row],[Tipo]],RefTabTipo[],2,FALSE),0)</f>
        <v>22</v>
      </c>
      <c r="I30" s="1642">
        <f>IFERROR(VLOOKUP(Financeiros[[#This Row],[Tipo]],RefTabTipo[],3,FALSE),0)</f>
        <v>60</v>
      </c>
      <c r="J30" s="1611">
        <f>IFERROR(VLOOKUP(Financeiros[[#This Row],[Tipo]],RefTabTipo[],4,FALSE),0)</f>
        <v>242</v>
      </c>
      <c r="K30" s="1677">
        <f>IFERROR(VLOOKUP(Financeiros[[#This Row],[Grupo Tarifário]],RefTabGrupoTarifa[],2,FALSE),0)</f>
        <v>4</v>
      </c>
      <c r="L30" s="1676">
        <f>IFERROR(VLOOKUP(Financeiros[[#This Row],[Grupo Tarifário]],RefTabGrupoTarifa[],3,FALSE),0)</f>
        <v>999</v>
      </c>
      <c r="M30" s="1677">
        <f>IFERROR(VLOOKUP(Financeiros[[#This Row],[Grupo Tarifário]],RefTabGrupoTarifa[],4,FALSE),0)</f>
        <v>9</v>
      </c>
      <c r="T30" s="847" t="s">
        <v>2262</v>
      </c>
      <c r="U30" s="847">
        <v>2</v>
      </c>
      <c r="V30" s="847">
        <v>8</v>
      </c>
      <c r="W30" s="847">
        <v>9</v>
      </c>
    </row>
    <row r="31" spans="3:23" ht="16.5">
      <c r="C31" s="1626" t="s">
        <v>1296</v>
      </c>
      <c r="D31" s="1454">
        <f>IFERROR(-ABS(Indexador!$L$49),0)</f>
        <v>0</v>
      </c>
      <c r="E31" s="1629">
        <f t="shared" ca="1" si="0"/>
        <v>0</v>
      </c>
      <c r="F31" s="1674" t="s">
        <v>2237</v>
      </c>
      <c r="G31" s="1675" t="s">
        <v>2258</v>
      </c>
      <c r="H31" s="1676">
        <f>IFERROR(VLOOKUP(Financeiros[[#This Row],[Tipo]],RefTabTipo[],2,FALSE),0)</f>
        <v>22</v>
      </c>
      <c r="I31" s="1642">
        <f>IFERROR(VLOOKUP(Financeiros[[#This Row],[Tipo]],RefTabTipo[],3,FALSE),0)</f>
        <v>60</v>
      </c>
      <c r="J31" s="1611">
        <f>IFERROR(VLOOKUP(Financeiros[[#This Row],[Tipo]],RefTabTipo[],4,FALSE),0)</f>
        <v>999</v>
      </c>
      <c r="K31" s="1677">
        <f>IFERROR(VLOOKUP(Financeiros[[#This Row],[Grupo Tarifário]],RefTabGrupoTarifa[],2,FALSE),0)</f>
        <v>2</v>
      </c>
      <c r="L31" s="1676">
        <f>IFERROR(VLOOKUP(Financeiros[[#This Row],[Grupo Tarifário]],RefTabGrupoTarifa[],3,FALSE),0)</f>
        <v>30</v>
      </c>
      <c r="M31" s="1677">
        <f>IFERROR(VLOOKUP(Financeiros[[#This Row],[Grupo Tarifário]],RefTabGrupoTarifa[],4,FALSE),0)</f>
        <v>9</v>
      </c>
      <c r="N31" s="92"/>
      <c r="T31" s="847" t="s">
        <v>2263</v>
      </c>
      <c r="U31" s="847">
        <v>3</v>
      </c>
      <c r="V31" s="847">
        <v>40</v>
      </c>
      <c r="W31" s="847">
        <v>9</v>
      </c>
    </row>
    <row r="32" spans="3:23" ht="16.5">
      <c r="C32" s="1626" t="s">
        <v>1297</v>
      </c>
      <c r="D32" s="1454"/>
      <c r="E32" s="1629">
        <f t="shared" ca="1" si="0"/>
        <v>0</v>
      </c>
      <c r="F32" s="1674" t="s">
        <v>2234</v>
      </c>
      <c r="G32" s="1675" t="s">
        <v>104</v>
      </c>
      <c r="H32" s="1676">
        <f>IFERROR(VLOOKUP(Financeiros[[#This Row],[Tipo]],RefTabTipo[],2,FALSE),0)</f>
        <v>22</v>
      </c>
      <c r="I32" s="1642">
        <f>IFERROR(VLOOKUP(Financeiros[[#This Row],[Tipo]],RefTabTipo[],3,FALSE),0)</f>
        <v>60</v>
      </c>
      <c r="J32" s="1611">
        <f>IFERROR(VLOOKUP(Financeiros[[#This Row],[Tipo]],RefTabTipo[],4,FALSE),0)</f>
        <v>120</v>
      </c>
      <c r="K32" s="1677">
        <f>IFERROR(VLOOKUP(Financeiros[[#This Row],[Grupo Tarifário]],RefTabGrupoTarifa[],2,FALSE),0)</f>
        <v>4</v>
      </c>
      <c r="L32" s="1676">
        <f>IFERROR(VLOOKUP(Financeiros[[#This Row],[Grupo Tarifário]],RefTabGrupoTarifa[],3,FALSE),0)</f>
        <v>999</v>
      </c>
      <c r="M32" s="1677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>
      <c r="C33" s="1627" t="s">
        <v>1298</v>
      </c>
      <c r="D33" s="1454">
        <f>'Tributos suprimento'!$E$18</f>
        <v>0</v>
      </c>
      <c r="E33" s="1629">
        <f t="shared" ca="1" si="0"/>
        <v>0</v>
      </c>
      <c r="F33" s="1674" t="s">
        <v>2237</v>
      </c>
      <c r="G33" s="1675" t="s">
        <v>2269</v>
      </c>
      <c r="H33" s="1676">
        <f>IFERROR(VLOOKUP(Financeiros[[#This Row],[Tipo]],RefTabTipo[],2,FALSE),0)</f>
        <v>22</v>
      </c>
      <c r="I33" s="1642">
        <f>IFERROR(VLOOKUP(Financeiros[[#This Row],[Tipo]],RefTabTipo[],3,FALSE),0)</f>
        <v>60</v>
      </c>
      <c r="J33" s="1611">
        <f>IFERROR(VLOOKUP(Financeiros[[#This Row],[Tipo]],RefTabTipo[],4,FALSE),0)</f>
        <v>999</v>
      </c>
      <c r="K33" s="1677">
        <f>IFERROR(VLOOKUP(Financeiros[[#This Row],[Grupo Tarifário]],RefTabGrupoTarifa[],2,FALSE),0)</f>
        <v>1</v>
      </c>
      <c r="L33" s="1676">
        <f>IFERROR(VLOOKUP(Financeiros[[#This Row],[Grupo Tarifário]],RefTabGrupoTarifa[],3,FALSE),0)</f>
        <v>7</v>
      </c>
      <c r="M33" s="1677">
        <f>IFERROR(VLOOKUP(Financeiros[[#This Row],[Grupo Tarifário]],RefTabGrupoTarifa[],4,FALSE),0)</f>
        <v>9</v>
      </c>
      <c r="N33" s="92"/>
      <c r="T33" s="847" t="s">
        <v>2264</v>
      </c>
      <c r="U33" s="847">
        <v>5</v>
      </c>
      <c r="V33" s="847">
        <v>999</v>
      </c>
      <c r="W33" s="847">
        <v>9</v>
      </c>
    </row>
    <row r="34" spans="3:23" ht="16.5">
      <c r="C34" s="1627" t="s">
        <v>1299</v>
      </c>
      <c r="D34" s="1454">
        <f>'Tributos suprimento'!$E$19</f>
        <v>0</v>
      </c>
      <c r="E34" s="1629">
        <f t="shared" ca="1" si="0"/>
        <v>0</v>
      </c>
      <c r="F34" s="1674" t="s">
        <v>2237</v>
      </c>
      <c r="G34" s="1675" t="s">
        <v>2258</v>
      </c>
      <c r="H34" s="1676">
        <f>IFERROR(VLOOKUP(Financeiros[[#This Row],[Tipo]],RefTabTipo[],2,FALSE),0)</f>
        <v>22</v>
      </c>
      <c r="I34" s="1642">
        <f>IFERROR(VLOOKUP(Financeiros[[#This Row],[Tipo]],RefTabTipo[],3,FALSE),0)</f>
        <v>60</v>
      </c>
      <c r="J34" s="1611">
        <f>IFERROR(VLOOKUP(Financeiros[[#This Row],[Tipo]],RefTabTipo[],4,FALSE),0)</f>
        <v>999</v>
      </c>
      <c r="K34" s="1677">
        <f>IFERROR(VLOOKUP(Financeiros[[#This Row],[Grupo Tarifário]],RefTabGrupoTarifa[],2,FALSE),0)</f>
        <v>2</v>
      </c>
      <c r="L34" s="1676">
        <f>IFERROR(VLOOKUP(Financeiros[[#This Row],[Grupo Tarifário]],RefTabGrupoTarifa[],3,FALSE),0)</f>
        <v>30</v>
      </c>
      <c r="M34" s="1677">
        <f>IFERROR(VLOOKUP(Financeiros[[#This Row],[Grupo Tarifário]],RefTabGrupoTarifa[],4,FALSE),0)</f>
        <v>9</v>
      </c>
      <c r="T34" s="847" t="s">
        <v>2265</v>
      </c>
      <c r="U34" s="847">
        <v>1</v>
      </c>
      <c r="V34" s="847">
        <v>1</v>
      </c>
      <c r="W34" s="847">
        <v>9</v>
      </c>
    </row>
    <row r="35" spans="3:23" ht="16.5">
      <c r="C35" s="1627" t="s">
        <v>1300</v>
      </c>
      <c r="D35" s="1454"/>
      <c r="E35" s="1629">
        <f t="shared" ca="1" si="0"/>
        <v>0</v>
      </c>
      <c r="F35" s="1674" t="s">
        <v>2237</v>
      </c>
      <c r="G35" s="1675" t="s">
        <v>2253</v>
      </c>
      <c r="H35" s="1676">
        <f>IFERROR(VLOOKUP(Financeiros[[#This Row],[Tipo]],RefTabTipo[],2,FALSE),0)</f>
        <v>22</v>
      </c>
      <c r="I35" s="1642">
        <f>IFERROR(VLOOKUP(Financeiros[[#This Row],[Tipo]],RefTabTipo[],3,FALSE),0)</f>
        <v>60</v>
      </c>
      <c r="J35" s="1611">
        <f>IFERROR(VLOOKUP(Financeiros[[#This Row],[Tipo]],RefTabTipo[],4,FALSE),0)</f>
        <v>999</v>
      </c>
      <c r="K35" s="1677">
        <f>IFERROR(VLOOKUP(Financeiros[[#This Row],[Grupo Tarifário]],RefTabGrupoTarifa[],2,FALSE),0)</f>
        <v>3</v>
      </c>
      <c r="L35" s="1676">
        <f>IFERROR(VLOOKUP(Financeiros[[#This Row],[Grupo Tarifário]],RefTabGrupoTarifa[],3,FALSE),0)</f>
        <v>19</v>
      </c>
      <c r="M35" s="1677">
        <f>IFERROR(VLOOKUP(Financeiros[[#This Row],[Grupo Tarifário]],RefTabGrupoTarifa[],4,FALSE),0)</f>
        <v>9</v>
      </c>
      <c r="T35" s="847" t="s">
        <v>2266</v>
      </c>
      <c r="U35" s="847">
        <v>1</v>
      </c>
      <c r="V35" s="847">
        <v>22</v>
      </c>
      <c r="W35" s="847">
        <v>9</v>
      </c>
    </row>
    <row r="36" spans="3:23" ht="16.5">
      <c r="C36" s="1627" t="s">
        <v>1301</v>
      </c>
      <c r="D36" s="1454"/>
      <c r="E36" s="1629">
        <f t="shared" ca="1" si="0"/>
        <v>0</v>
      </c>
      <c r="F36" s="1674" t="s">
        <v>2237</v>
      </c>
      <c r="G36" s="1675" t="s">
        <v>104</v>
      </c>
      <c r="H36" s="1676">
        <f>IFERROR(VLOOKUP(Financeiros[[#This Row],[Tipo]],RefTabTipo[],2,FALSE),0)</f>
        <v>22</v>
      </c>
      <c r="I36" s="1642">
        <f>IFERROR(VLOOKUP(Financeiros[[#This Row],[Tipo]],RefTabTipo[],3,FALSE),0)</f>
        <v>60</v>
      </c>
      <c r="J36" s="1611">
        <f>IFERROR(VLOOKUP(Financeiros[[#This Row],[Tipo]],RefTabTipo[],4,FALSE),0)</f>
        <v>999</v>
      </c>
      <c r="K36" s="1677">
        <f>IFERROR(VLOOKUP(Financeiros[[#This Row],[Grupo Tarifário]],RefTabGrupoTarifa[],2,FALSE),0)</f>
        <v>4</v>
      </c>
      <c r="L36" s="1676">
        <f>IFERROR(VLOOKUP(Financeiros[[#This Row],[Grupo Tarifário]],RefTabGrupoTarifa[],3,FALSE),0)</f>
        <v>999</v>
      </c>
      <c r="M36" s="1677">
        <f>IFERROR(VLOOKUP(Financeiros[[#This Row],[Grupo Tarifário]],RefTabGrupoTarifa[],4,FALSE),0)</f>
        <v>9</v>
      </c>
      <c r="T36" s="847" t="s">
        <v>2267</v>
      </c>
      <c r="U36" s="847">
        <v>1</v>
      </c>
      <c r="V36" s="847">
        <v>4</v>
      </c>
      <c r="W36" s="847">
        <v>9</v>
      </c>
    </row>
    <row r="37" spans="3:23" ht="16.5">
      <c r="C37" s="1627" t="s">
        <v>2383</v>
      </c>
      <c r="D37" s="1454"/>
      <c r="E37" s="1629">
        <f t="shared" ca="1" si="0"/>
        <v>0</v>
      </c>
      <c r="F37" s="1674" t="s">
        <v>2237</v>
      </c>
      <c r="G37" s="1675" t="s">
        <v>104</v>
      </c>
      <c r="H37" s="1676">
        <f>IFERROR(VLOOKUP(Financeiros[[#This Row],[Tipo]],RefTabTipo[],2,FALSE),0)</f>
        <v>22</v>
      </c>
      <c r="I37" s="1642">
        <f>IFERROR(VLOOKUP(Financeiros[[#This Row],[Tipo]],RefTabTipo[],3,FALSE),0)</f>
        <v>60</v>
      </c>
      <c r="J37" s="1611">
        <f>IFERROR(VLOOKUP(Financeiros[[#This Row],[Tipo]],RefTabTipo[],4,FALSE),0)</f>
        <v>999</v>
      </c>
      <c r="K37" s="1677">
        <f>IFERROR(VLOOKUP(Financeiros[[#This Row],[Grupo Tarifário]],RefTabGrupoTarifa[],2,FALSE),0)</f>
        <v>4</v>
      </c>
      <c r="L37" s="1676">
        <f>IFERROR(VLOOKUP(Financeiros[[#This Row],[Grupo Tarifário]],RefTabGrupoTarifa[],3,FALSE),0)</f>
        <v>999</v>
      </c>
      <c r="M37" s="1677">
        <f>IFERROR(VLOOKUP(Financeiros[[#This Row],[Grupo Tarifário]],RefTabGrupoTarifa[],4,FALSE),0)</f>
        <v>9</v>
      </c>
      <c r="T37" s="847" t="s">
        <v>2268</v>
      </c>
      <c r="U37" s="847">
        <v>1</v>
      </c>
      <c r="V37" s="847">
        <v>3</v>
      </c>
      <c r="W37" s="847">
        <v>9</v>
      </c>
    </row>
    <row r="38" spans="3:23" ht="16.5">
      <c r="C38" s="1627" t="s">
        <v>1302</v>
      </c>
      <c r="D38" s="1454"/>
      <c r="E38" s="1629">
        <f t="shared" ca="1" si="0"/>
        <v>0</v>
      </c>
      <c r="F38" s="1674" t="s">
        <v>2237</v>
      </c>
      <c r="G38" s="1675" t="s">
        <v>2258</v>
      </c>
      <c r="H38" s="1676">
        <f>IFERROR(VLOOKUP(Financeiros[[#This Row],[Tipo]],RefTabTipo[],2,FALSE),0)</f>
        <v>22</v>
      </c>
      <c r="I38" s="1642">
        <f>IFERROR(VLOOKUP(Financeiros[[#This Row],[Tipo]],RefTabTipo[],3,FALSE),0)</f>
        <v>60</v>
      </c>
      <c r="J38" s="1611">
        <f>IFERROR(VLOOKUP(Financeiros[[#This Row],[Tipo]],RefTabTipo[],4,FALSE),0)</f>
        <v>999</v>
      </c>
      <c r="K38" s="1677">
        <f>IFERROR(VLOOKUP(Financeiros[[#This Row],[Grupo Tarifário]],RefTabGrupoTarifa[],2,FALSE),0)</f>
        <v>2</v>
      </c>
      <c r="L38" s="1676">
        <f>IFERROR(VLOOKUP(Financeiros[[#This Row],[Grupo Tarifário]],RefTabGrupoTarifa[],3,FALSE),0)</f>
        <v>30</v>
      </c>
      <c r="M38" s="1677">
        <f>IFERROR(VLOOKUP(Financeiros[[#This Row],[Grupo Tarifário]],RefTabGrupoTarifa[],4,FALSE),0)</f>
        <v>9</v>
      </c>
      <c r="T38" s="847" t="s">
        <v>2269</v>
      </c>
      <c r="U38" s="847">
        <v>1</v>
      </c>
      <c r="V38" s="847">
        <v>7</v>
      </c>
      <c r="W38" s="847">
        <v>9</v>
      </c>
    </row>
    <row r="39" spans="3:23" ht="16.5">
      <c r="C39" s="1627" t="s">
        <v>1303</v>
      </c>
      <c r="D39" s="1454">
        <f>-ABS(PIS_COFINS!$R$4)</f>
        <v>0</v>
      </c>
      <c r="E39" s="1629">
        <f t="shared" ca="1" si="0"/>
        <v>0</v>
      </c>
      <c r="F39" s="1674" t="s">
        <v>2236</v>
      </c>
      <c r="G39" s="1675" t="s">
        <v>2243</v>
      </c>
      <c r="H39" s="1676">
        <f>IFERROR(VLOOKUP(Financeiros[[#This Row],[Tipo]],RefTabTipo[],2,FALSE),0)</f>
        <v>22</v>
      </c>
      <c r="I39" s="1642">
        <f>IFERROR(VLOOKUP(Financeiros[[#This Row],[Tipo]],RefTabTipo[],3,FALSE),0)</f>
        <v>60</v>
      </c>
      <c r="J39" s="1611">
        <f>IFERROR(VLOOKUP(Financeiros[[#This Row],[Tipo]],RefTabTipo[],4,FALSE),0)</f>
        <v>179</v>
      </c>
      <c r="K39" s="1677">
        <f>IFERROR(VLOOKUP(Financeiros[[#This Row],[Grupo Tarifário]],RefTabGrupoTarifa[],2,FALSE),0)</f>
        <v>99</v>
      </c>
      <c r="L39" s="1676">
        <f>IFERROR(VLOOKUP(Financeiros[[#This Row],[Grupo Tarifário]],RefTabGrupoTarifa[],3,FALSE),0)</f>
        <v>999</v>
      </c>
      <c r="M39" s="1677">
        <f>IFERROR(VLOOKUP(Financeiros[[#This Row],[Grupo Tarifário]],RefTabGrupoTarifa[],4,FALSE),0)</f>
        <v>3</v>
      </c>
      <c r="T39" s="847" t="s">
        <v>2270</v>
      </c>
      <c r="U39" s="847">
        <v>1</v>
      </c>
      <c r="V39" s="847">
        <v>23</v>
      </c>
      <c r="W39" s="847">
        <v>9</v>
      </c>
    </row>
    <row r="40" spans="3:23" ht="16.5">
      <c r="C40" s="1627" t="s">
        <v>1304</v>
      </c>
      <c r="D40" s="1454">
        <f>-D9</f>
        <v>-21613.100516236267</v>
      </c>
      <c r="E40" s="1629">
        <f t="shared" ca="1" si="0"/>
        <v>-4.0826446427976639E-3</v>
      </c>
      <c r="F40" s="1674" t="s">
        <v>2237</v>
      </c>
      <c r="G40" s="1675" t="s">
        <v>2269</v>
      </c>
      <c r="H40" s="1676">
        <f>IFERROR(VLOOKUP(Financeiros[[#This Row],[Tipo]],RefTabTipo[],2,FALSE),0)</f>
        <v>22</v>
      </c>
      <c r="I40" s="1642">
        <f>IFERROR(VLOOKUP(Financeiros[[#This Row],[Tipo]],RefTabTipo[],3,FALSE),0)</f>
        <v>60</v>
      </c>
      <c r="J40" s="1611">
        <f>IFERROR(VLOOKUP(Financeiros[[#This Row],[Tipo]],RefTabTipo[],4,FALSE),0)</f>
        <v>999</v>
      </c>
      <c r="K40" s="1677">
        <f>IFERROR(VLOOKUP(Financeiros[[#This Row],[Grupo Tarifário]],RefTabGrupoTarifa[],2,FALSE),0)</f>
        <v>1</v>
      </c>
      <c r="L40" s="1676">
        <f>IFERROR(VLOOKUP(Financeiros[[#This Row],[Grupo Tarifário]],RefTabGrupoTarifa[],3,FALSE),0)</f>
        <v>7</v>
      </c>
      <c r="M40" s="1677">
        <f>IFERROR(VLOOKUP(Financeiros[[#This Row],[Grupo Tarifário]],RefTabGrupoTarifa[],4,FALSE),0)</f>
        <v>9</v>
      </c>
      <c r="T40" s="847" t="s">
        <v>2271</v>
      </c>
      <c r="U40" s="847">
        <v>1</v>
      </c>
      <c r="V40" s="847">
        <v>2</v>
      </c>
      <c r="W40" s="847">
        <v>9</v>
      </c>
    </row>
    <row r="41" spans="3:23" ht="16.5">
      <c r="C41" s="1627" t="s">
        <v>1305</v>
      </c>
      <c r="D41" s="1454">
        <f ca="1">-SUM(D10:D14)</f>
        <v>-39825.517695316033</v>
      </c>
      <c r="E41" s="1629">
        <f t="shared" ca="1" si="0"/>
        <v>-7.5229112242957263E-3</v>
      </c>
      <c r="F41" s="1674" t="s">
        <v>2237</v>
      </c>
      <c r="G41" s="1675" t="s">
        <v>2258</v>
      </c>
      <c r="H41" s="1676">
        <f>IFERROR(VLOOKUP(Financeiros[[#This Row],[Tipo]],RefTabTipo[],2,FALSE),0)</f>
        <v>22</v>
      </c>
      <c r="I41" s="1642">
        <f>IFERROR(VLOOKUP(Financeiros[[#This Row],[Tipo]],RefTabTipo[],3,FALSE),0)</f>
        <v>60</v>
      </c>
      <c r="J41" s="1611">
        <f>IFERROR(VLOOKUP(Financeiros[[#This Row],[Tipo]],RefTabTipo[],4,FALSE),0)</f>
        <v>999</v>
      </c>
      <c r="K41" s="1677">
        <f>IFERROR(VLOOKUP(Financeiros[[#This Row],[Grupo Tarifário]],RefTabGrupoTarifa[],2,FALSE),0)</f>
        <v>2</v>
      </c>
      <c r="L41" s="1676">
        <f>IFERROR(VLOOKUP(Financeiros[[#This Row],[Grupo Tarifário]],RefTabGrupoTarifa[],3,FALSE),0)</f>
        <v>30</v>
      </c>
      <c r="M41" s="1677">
        <f>IFERROR(VLOOKUP(Financeiros[[#This Row],[Grupo Tarifário]],RefTabGrupoTarifa[],4,FALSE),0)</f>
        <v>9</v>
      </c>
      <c r="T41" s="847" t="s">
        <v>2272</v>
      </c>
      <c r="U41" s="847">
        <v>1</v>
      </c>
      <c r="V41" s="847">
        <v>1</v>
      </c>
      <c r="W41" s="847">
        <v>9</v>
      </c>
    </row>
    <row r="42" spans="3:23" ht="16.5">
      <c r="C42" s="1627" t="s">
        <v>1306</v>
      </c>
      <c r="D42" s="1454">
        <f>'Financeiros Mitigação'!$D$12</f>
        <v>0</v>
      </c>
      <c r="E42" s="1629">
        <f t="shared" ca="1" si="0"/>
        <v>0</v>
      </c>
      <c r="F42" s="1674" t="s">
        <v>2237</v>
      </c>
      <c r="G42" s="1675" t="s">
        <v>104</v>
      </c>
      <c r="H42" s="1676">
        <f>IFERROR(VLOOKUP(Financeiros[[#This Row],[Tipo]],RefTabTipo[],2,FALSE),0)</f>
        <v>22</v>
      </c>
      <c r="I42" s="1642">
        <f>IFERROR(VLOOKUP(Financeiros[[#This Row],[Tipo]],RefTabTipo[],3,FALSE),0)</f>
        <v>60</v>
      </c>
      <c r="J42" s="1611">
        <f>IFERROR(VLOOKUP(Financeiros[[#This Row],[Tipo]],RefTabTipo[],4,FALSE),0)</f>
        <v>999</v>
      </c>
      <c r="K42" s="1677">
        <f>IFERROR(VLOOKUP(Financeiros[[#This Row],[Grupo Tarifário]],RefTabGrupoTarifa[],2,FALSE),0)</f>
        <v>4</v>
      </c>
      <c r="L42" s="1676">
        <f>IFERROR(VLOOKUP(Financeiros[[#This Row],[Grupo Tarifário]],RefTabGrupoTarifa[],3,FALSE),0)</f>
        <v>999</v>
      </c>
      <c r="M42" s="1677">
        <f>IFERROR(VLOOKUP(Financeiros[[#This Row],[Grupo Tarifário]],RefTabGrupoTarifa[],4,FALSE),0)</f>
        <v>9</v>
      </c>
      <c r="T42" s="847" t="s">
        <v>2273</v>
      </c>
      <c r="U42" s="847">
        <v>1</v>
      </c>
      <c r="V42" s="847">
        <v>21</v>
      </c>
      <c r="W42" s="847">
        <v>9</v>
      </c>
    </row>
    <row r="43" spans="3:23" ht="16.5">
      <c r="C43" s="1627" t="s">
        <v>2277</v>
      </c>
      <c r="D43" s="1454"/>
      <c r="E43" s="1678">
        <f t="shared" ca="1" si="0"/>
        <v>0</v>
      </c>
      <c r="F43" s="1674" t="s">
        <v>2230</v>
      </c>
      <c r="G43" s="1675" t="s">
        <v>104</v>
      </c>
      <c r="H43" s="1679">
        <f>IFERROR(VLOOKUP(Financeiros[[#This Row],[Tipo]],RefTabTipo[],2,FALSE),0)</f>
        <v>22</v>
      </c>
      <c r="I43" s="1642">
        <f>IFERROR(VLOOKUP(Financeiros[[#This Row],[Tipo]],RefTabTipo[],3,FALSE),0)</f>
        <v>60</v>
      </c>
      <c r="J43" s="1611">
        <f>IFERROR(VLOOKUP(Financeiros[[#This Row],[Tipo]],RefTabTipo[],4,FALSE),0)</f>
        <v>235</v>
      </c>
      <c r="K43" s="1680">
        <f>IFERROR(VLOOKUP(Financeiros[[#This Row],[Grupo Tarifário]],RefTabGrupoTarifa[],2,FALSE),0)</f>
        <v>4</v>
      </c>
      <c r="L43" s="1679">
        <f>IFERROR(VLOOKUP(Financeiros[[#This Row],[Grupo Tarifário]],RefTabGrupoTarifa[],3,FALSE),0)</f>
        <v>999</v>
      </c>
      <c r="M43" s="1680">
        <f>IFERROR(VLOOKUP(Financeiros[[#This Row],[Grupo Tarifário]],RefTabGrupoTarifa[],4,FALSE),0)</f>
        <v>9</v>
      </c>
      <c r="T43" s="847" t="s">
        <v>2274</v>
      </c>
      <c r="U43" s="847">
        <v>1</v>
      </c>
      <c r="V43" s="847">
        <v>5</v>
      </c>
      <c r="W43" s="847">
        <v>9</v>
      </c>
    </row>
    <row r="44" spans="3:23" ht="16.5">
      <c r="C44" s="1627" t="s">
        <v>2384</v>
      </c>
      <c r="D44" s="1454"/>
      <c r="E44" s="1678">
        <f t="shared" ca="1" si="0"/>
        <v>0</v>
      </c>
      <c r="F44" s="1674"/>
      <c r="G44" s="1675"/>
      <c r="H44" s="1679">
        <f>IFERROR(VLOOKUP(Financeiros[[#This Row],[Tipo]],RefTabTipo[],2,FALSE),0)</f>
        <v>0</v>
      </c>
      <c r="I44" s="1642">
        <f>IFERROR(VLOOKUP(Financeiros[[#This Row],[Tipo]],RefTabTipo[],3,FALSE),0)</f>
        <v>0</v>
      </c>
      <c r="J44" s="1611">
        <f>IFERROR(VLOOKUP(Financeiros[[#This Row],[Tipo]],RefTabTipo[],4,FALSE),0)</f>
        <v>0</v>
      </c>
      <c r="K44" s="1680">
        <f>IFERROR(VLOOKUP(Financeiros[[#This Row],[Grupo Tarifário]],RefTabGrupoTarifa[],2,FALSE),0)</f>
        <v>0</v>
      </c>
      <c r="L44" s="1679">
        <f>IFERROR(VLOOKUP(Financeiros[[#This Row],[Grupo Tarifário]],RefTabGrupoTarifa[],3,FALSE),0)</f>
        <v>0</v>
      </c>
      <c r="M44" s="1680">
        <f>IFERROR(VLOOKUP(Financeiros[[#This Row],[Grupo Tarifário]],RefTabGrupoTarifa[],4,FALSE),0)</f>
        <v>0</v>
      </c>
      <c r="T44" s="847" t="s">
        <v>2275</v>
      </c>
      <c r="U44" s="847">
        <v>1</v>
      </c>
      <c r="V44" s="847">
        <v>6</v>
      </c>
      <c r="W44" s="847">
        <v>9</v>
      </c>
    </row>
    <row r="45" spans="3:23" ht="16.5">
      <c r="C45" s="1764" t="s">
        <v>2387</v>
      </c>
      <c r="D45" s="1765"/>
      <c r="E45" s="1766">
        <f t="shared" ca="1" si="0"/>
        <v>0</v>
      </c>
      <c r="F45" s="1767"/>
      <c r="G45" s="1768"/>
      <c r="H45" s="1769">
        <f>IFERROR(VLOOKUP(Financeiros[[#This Row],[Tipo]],RefTabTipo[],2,FALSE),0)</f>
        <v>0</v>
      </c>
      <c r="I45" s="1770">
        <f>IFERROR(VLOOKUP(Financeiros[[#This Row],[Tipo]],RefTabTipo[],3,FALSE),0)</f>
        <v>0</v>
      </c>
      <c r="J45" s="1771">
        <f>IFERROR(VLOOKUP(Financeiros[[#This Row],[Tipo]],RefTabTipo[],4,FALSE),0)</f>
        <v>0</v>
      </c>
      <c r="K45" s="1772">
        <f>IFERROR(VLOOKUP(Financeiros[[#This Row],[Grupo Tarifário]],RefTabGrupoTarifa[],2,FALSE),0)</f>
        <v>0</v>
      </c>
      <c r="L45" s="1769">
        <f>IFERROR(VLOOKUP(Financeiros[[#This Row],[Grupo Tarifário]],RefTabGrupoTarifa[],3,FALSE),0)</f>
        <v>0</v>
      </c>
      <c r="M45" s="1772">
        <f>IFERROR(VLOOKUP(Financeiros[[#This Row],[Grupo Tarifário]],RefTabGrupoTarifa[],4,FALSE),0)</f>
        <v>0</v>
      </c>
      <c r="T45" s="847"/>
      <c r="U45" s="847"/>
      <c r="V45" s="847"/>
      <c r="W45" s="847"/>
    </row>
    <row r="46" spans="3:23" ht="16.5">
      <c r="C46" s="1764" t="s">
        <v>2388</v>
      </c>
      <c r="D46" s="1765"/>
      <c r="E46" s="1773">
        <f t="shared" ca="1" si="0"/>
        <v>0</v>
      </c>
      <c r="F46" s="1767" t="s">
        <v>2237</v>
      </c>
      <c r="G46" s="1768" t="s">
        <v>104</v>
      </c>
      <c r="H46" s="1774">
        <f>IFERROR(VLOOKUP(Financeiros[[#This Row],[Tipo]],RefTabTipo[],2,FALSE),0)</f>
        <v>22</v>
      </c>
      <c r="I46" s="1770">
        <f>IFERROR(VLOOKUP(Financeiros[[#This Row],[Tipo]],RefTabTipo[],3,FALSE),0)</f>
        <v>60</v>
      </c>
      <c r="J46" s="1771">
        <f>IFERROR(VLOOKUP(Financeiros[[#This Row],[Tipo]],RefTabTipo[],4,FALSE),0)</f>
        <v>999</v>
      </c>
      <c r="K46" s="1775">
        <f>IFERROR(VLOOKUP(Financeiros[[#This Row],[Grupo Tarifário]],RefTabGrupoTarifa[],2,FALSE),0)</f>
        <v>4</v>
      </c>
      <c r="L46" s="1774">
        <f>IFERROR(VLOOKUP(Financeiros[[#This Row],[Grupo Tarifário]],RefTabGrupoTarifa[],3,FALSE),0)</f>
        <v>999</v>
      </c>
      <c r="M46" s="1775">
        <f>IFERROR(VLOOKUP(Financeiros[[#This Row],[Grupo Tarifário]],RefTabGrupoTarifa[],4,FALSE),0)</f>
        <v>9</v>
      </c>
      <c r="T46" s="847"/>
      <c r="U46" s="847"/>
      <c r="V46" s="847"/>
      <c r="W46" s="847"/>
    </row>
    <row r="47" spans="3:23" ht="16.5">
      <c r="C47" s="1764" t="s">
        <v>2389</v>
      </c>
      <c r="D47" s="1765">
        <f>U58</f>
        <v>47046.036886672802</v>
      </c>
      <c r="E47" s="1773">
        <f t="shared" ca="1" si="0"/>
        <v>8.8868438989559515E-3</v>
      </c>
      <c r="F47" s="1767" t="s">
        <v>2237</v>
      </c>
      <c r="G47" s="1768" t="s">
        <v>2269</v>
      </c>
      <c r="H47" s="1774">
        <f>IFERROR(VLOOKUP(Financeiros[[#This Row],[Tipo]],RefTabTipo[],2,FALSE),0)</f>
        <v>22</v>
      </c>
      <c r="I47" s="1770">
        <f>IFERROR(VLOOKUP(Financeiros[[#This Row],[Tipo]],RefTabTipo[],3,FALSE),0)</f>
        <v>60</v>
      </c>
      <c r="J47" s="1771">
        <f>IFERROR(VLOOKUP(Financeiros[[#This Row],[Tipo]],RefTabTipo[],4,FALSE),0)</f>
        <v>999</v>
      </c>
      <c r="K47" s="1775">
        <f>IFERROR(VLOOKUP(Financeiros[[#This Row],[Grupo Tarifário]],RefTabGrupoTarifa[],2,FALSE),0)</f>
        <v>1</v>
      </c>
      <c r="L47" s="1774">
        <f>IFERROR(VLOOKUP(Financeiros[[#This Row],[Grupo Tarifário]],RefTabGrupoTarifa[],3,FALSE),0)</f>
        <v>7</v>
      </c>
      <c r="M47" s="1775">
        <f>IFERROR(VLOOKUP(Financeiros[[#This Row],[Grupo Tarifário]],RefTabGrupoTarifa[],4,FALSE),0)</f>
        <v>9</v>
      </c>
    </row>
    <row r="48" spans="3:23" ht="16.5">
      <c r="C48" s="1764" t="s">
        <v>2390</v>
      </c>
      <c r="D48" s="1765">
        <f>U59</f>
        <v>114772.48290092012</v>
      </c>
      <c r="E48" s="1773">
        <f t="shared" ca="1" si="0"/>
        <v>2.1680150060100045E-2</v>
      </c>
      <c r="F48" s="1767" t="s">
        <v>2237</v>
      </c>
      <c r="G48" s="1768" t="s">
        <v>2258</v>
      </c>
      <c r="H48" s="1774">
        <f>IFERROR(VLOOKUP(Financeiros[[#This Row],[Tipo]],RefTabTipo[],2,FALSE),0)</f>
        <v>22</v>
      </c>
      <c r="I48" s="1770">
        <f>IFERROR(VLOOKUP(Financeiros[[#This Row],[Tipo]],RefTabTipo[],3,FALSE),0)</f>
        <v>60</v>
      </c>
      <c r="J48" s="1771">
        <f>IFERROR(VLOOKUP(Financeiros[[#This Row],[Tipo]],RefTabTipo[],4,FALSE),0)</f>
        <v>999</v>
      </c>
      <c r="K48" s="1775">
        <f>IFERROR(VLOOKUP(Financeiros[[#This Row],[Grupo Tarifário]],RefTabGrupoTarifa[],2,FALSE),0)</f>
        <v>2</v>
      </c>
      <c r="L48" s="1774">
        <f>IFERROR(VLOOKUP(Financeiros[[#This Row],[Grupo Tarifário]],RefTabGrupoTarifa[],3,FALSE),0)</f>
        <v>30</v>
      </c>
      <c r="M48" s="1775">
        <f>IFERROR(VLOOKUP(Financeiros[[#This Row],[Grupo Tarifário]],RefTabGrupoTarifa[],4,FALSE),0)</f>
        <v>9</v>
      </c>
    </row>
    <row r="49" spans="3:23" ht="16.5">
      <c r="C49" s="1670" t="s">
        <v>2103</v>
      </c>
      <c r="D49" s="1655">
        <f>CVE!$D$9</f>
        <v>0</v>
      </c>
      <c r="E49" s="1630">
        <f t="shared" ca="1" si="0"/>
        <v>0</v>
      </c>
      <c r="F49" s="1618" t="s">
        <v>2233</v>
      </c>
      <c r="G49" s="1637" t="s">
        <v>2245</v>
      </c>
      <c r="H49" s="1619">
        <f>IFERROR(VLOOKUP(Financeiros[[#This Row],[Tipo]],RefTabTipo[],2,FALSE),0)</f>
        <v>22</v>
      </c>
      <c r="I49" s="1643">
        <f>IFERROR(VLOOKUP(Financeiros[[#This Row],[Tipo]],RefTabTipo[],3,FALSE),0)</f>
        <v>60</v>
      </c>
      <c r="J49" s="1620">
        <f>IFERROR(VLOOKUP(Financeiros[[#This Row],[Tipo]],RefTabTipo[],4,FALSE),0)</f>
        <v>241</v>
      </c>
      <c r="K49" s="1649">
        <f>IFERROR(VLOOKUP(Financeiros[[#This Row],[Grupo Tarifário]],RefTabGrupoTarifa[],2,FALSE),0)</f>
        <v>3</v>
      </c>
      <c r="L49" s="1619">
        <f>IFERROR(VLOOKUP(Financeiros[[#This Row],[Grupo Tarifário]],RefTabGrupoTarifa[],3,FALSE),0)</f>
        <v>13</v>
      </c>
      <c r="M49" s="1649">
        <f>IFERROR(VLOOKUP(Financeiros[[#This Row],[Grupo Tarifário]],RefTabGrupoTarifa[],4,FALSE),0)</f>
        <v>9</v>
      </c>
    </row>
    <row r="50" spans="3:23" ht="16.5">
      <c r="C50" s="1670" t="s">
        <v>2104</v>
      </c>
      <c r="D50" s="1655">
        <f>CVE!$D$10</f>
        <v>0</v>
      </c>
      <c r="E50" s="1630">
        <f t="shared" ca="1" si="0"/>
        <v>0</v>
      </c>
      <c r="F50" s="1618" t="s">
        <v>2233</v>
      </c>
      <c r="G50" s="1637" t="s">
        <v>2247</v>
      </c>
      <c r="H50" s="1619">
        <f>IFERROR(VLOOKUP(Financeiros[[#This Row],[Tipo]],RefTabTipo[],2,FALSE),0)</f>
        <v>22</v>
      </c>
      <c r="I50" s="1643">
        <f>IFERROR(VLOOKUP(Financeiros[[#This Row],[Tipo]],RefTabTipo[],3,FALSE),0)</f>
        <v>60</v>
      </c>
      <c r="J50" s="1620">
        <f>IFERROR(VLOOKUP(Financeiros[[#This Row],[Tipo]],RefTabTipo[],4,FALSE),0)</f>
        <v>241</v>
      </c>
      <c r="K50" s="1649">
        <f>IFERROR(VLOOKUP(Financeiros[[#This Row],[Grupo Tarifário]],RefTabGrupoTarifa[],2,FALSE),0)</f>
        <v>3</v>
      </c>
      <c r="L50" s="1619">
        <f>IFERROR(VLOOKUP(Financeiros[[#This Row],[Grupo Tarifário]],RefTabGrupoTarifa[],3,FALSE),0)</f>
        <v>15</v>
      </c>
      <c r="M50" s="1649">
        <f>IFERROR(VLOOKUP(Financeiros[[#This Row],[Grupo Tarifário]],RefTabGrupoTarifa[],4,FALSE),0)</f>
        <v>9</v>
      </c>
    </row>
    <row r="51" spans="3:23" ht="16.5">
      <c r="C51" s="1670" t="s">
        <v>2105</v>
      </c>
      <c r="D51" s="1655">
        <f>CVE!$D$11</f>
        <v>0</v>
      </c>
      <c r="E51" s="1630">
        <f t="shared" ca="1" si="0"/>
        <v>0</v>
      </c>
      <c r="F51" s="1618" t="s">
        <v>2233</v>
      </c>
      <c r="G51" s="1637" t="s">
        <v>2246</v>
      </c>
      <c r="H51" s="1619">
        <f>IFERROR(VLOOKUP(Financeiros[[#This Row],[Tipo]],RefTabTipo[],2,FALSE),0)</f>
        <v>22</v>
      </c>
      <c r="I51" s="1643">
        <f>IFERROR(VLOOKUP(Financeiros[[#This Row],[Tipo]],RefTabTipo[],3,FALSE),0)</f>
        <v>60</v>
      </c>
      <c r="J51" s="1620">
        <f>IFERROR(VLOOKUP(Financeiros[[#This Row],[Tipo]],RefTabTipo[],4,FALSE),0)</f>
        <v>241</v>
      </c>
      <c r="K51" s="1649">
        <f>IFERROR(VLOOKUP(Financeiros[[#This Row],[Grupo Tarifário]],RefTabGrupoTarifa[],2,FALSE),0)</f>
        <v>3</v>
      </c>
      <c r="L51" s="1619">
        <f>IFERROR(VLOOKUP(Financeiros[[#This Row],[Grupo Tarifário]],RefTabGrupoTarifa[],3,FALSE),0)</f>
        <v>25</v>
      </c>
      <c r="M51" s="1649">
        <f>IFERROR(VLOOKUP(Financeiros[[#This Row],[Grupo Tarifário]],RefTabGrupoTarifa[],4,FALSE),0)</f>
        <v>9</v>
      </c>
    </row>
    <row r="52" spans="3:23" ht="16.5">
      <c r="C52" s="1670" t="s">
        <v>2106</v>
      </c>
      <c r="D52" s="1655">
        <f>IFERROR(CVE!$D$12*Resultado!D25/SUM(Resultado!$D$25:$D$29),0)</f>
        <v>0</v>
      </c>
      <c r="E52" s="1630">
        <f t="shared" ca="1" si="0"/>
        <v>0</v>
      </c>
      <c r="F52" s="1618" t="s">
        <v>2233</v>
      </c>
      <c r="G52" s="1637" t="s">
        <v>2265</v>
      </c>
      <c r="H52" s="1619">
        <f>IFERROR(VLOOKUP(Financeiros[[#This Row],[Tipo]],RefTabTipo[],2,FALSE),0)</f>
        <v>22</v>
      </c>
      <c r="I52" s="1643">
        <f>IFERROR(VLOOKUP(Financeiros[[#This Row],[Tipo]],RefTabTipo[],3,FALSE),0)</f>
        <v>60</v>
      </c>
      <c r="J52" s="1620">
        <f>IFERROR(VLOOKUP(Financeiros[[#This Row],[Tipo]],RefTabTipo[],4,FALSE),0)</f>
        <v>241</v>
      </c>
      <c r="K52" s="1649">
        <f>IFERROR(VLOOKUP(Financeiros[[#This Row],[Grupo Tarifário]],RefTabGrupoTarifa[],2,FALSE),0)</f>
        <v>1</v>
      </c>
      <c r="L52" s="1619">
        <f>IFERROR(VLOOKUP(Financeiros[[#This Row],[Grupo Tarifário]],RefTabGrupoTarifa[],3,FALSE),0)</f>
        <v>1</v>
      </c>
      <c r="M52" s="1649">
        <f>IFERROR(VLOOKUP(Financeiros[[#This Row],[Grupo Tarifário]],RefTabGrupoTarifa[],4,FALSE),0)</f>
        <v>9</v>
      </c>
    </row>
    <row r="53" spans="3:23" ht="16.5">
      <c r="C53" s="1670" t="s">
        <v>2107</v>
      </c>
      <c r="D53" s="1655">
        <f>IFERROR(CVE!$D$12*Resultado!D26/SUM(Resultado!$D$25:$D$29),0)</f>
        <v>0</v>
      </c>
      <c r="E53" s="1630">
        <f t="shared" ca="1" si="0"/>
        <v>0</v>
      </c>
      <c r="F53" s="1618" t="s">
        <v>2233</v>
      </c>
      <c r="G53" s="1637" t="s">
        <v>2265</v>
      </c>
      <c r="H53" s="1619">
        <f>IFERROR(VLOOKUP(Financeiros[[#This Row],[Tipo]],RefTabTipo[],2,FALSE),0)</f>
        <v>22</v>
      </c>
      <c r="I53" s="1643">
        <f>IFERROR(VLOOKUP(Financeiros[[#This Row],[Tipo]],RefTabTipo[],3,FALSE),0)</f>
        <v>60</v>
      </c>
      <c r="J53" s="1620">
        <f>IFERROR(VLOOKUP(Financeiros[[#This Row],[Tipo]],RefTabTipo[],4,FALSE),0)</f>
        <v>241</v>
      </c>
      <c r="K53" s="1649">
        <f>IFERROR(VLOOKUP(Financeiros[[#This Row],[Grupo Tarifário]],RefTabGrupoTarifa[],2,FALSE),0)</f>
        <v>1</v>
      </c>
      <c r="L53" s="1619">
        <f>IFERROR(VLOOKUP(Financeiros[[#This Row],[Grupo Tarifário]],RefTabGrupoTarifa[],3,FALSE),0)</f>
        <v>1</v>
      </c>
      <c r="M53" s="1649">
        <f>IFERROR(VLOOKUP(Financeiros[[#This Row],[Grupo Tarifário]],RefTabGrupoTarifa[],4,FALSE),0)</f>
        <v>9</v>
      </c>
    </row>
    <row r="54" spans="3:23" ht="16.5">
      <c r="C54" s="1670" t="s">
        <v>2108</v>
      </c>
      <c r="D54" s="1655">
        <f>IFERROR(CVE!$D$12*Resultado!D28/SUM(Resultado!$D$25:$D$29),0)</f>
        <v>0</v>
      </c>
      <c r="E54" s="1630">
        <f t="shared" ca="1" si="0"/>
        <v>0</v>
      </c>
      <c r="F54" s="1618" t="s">
        <v>2233</v>
      </c>
      <c r="G54" s="1637" t="s">
        <v>2265</v>
      </c>
      <c r="H54" s="1619">
        <f>IFERROR(VLOOKUP(Financeiros[[#This Row],[Tipo]],RefTabTipo[],2,FALSE),0)</f>
        <v>22</v>
      </c>
      <c r="I54" s="1643">
        <f>IFERROR(VLOOKUP(Financeiros[[#This Row],[Tipo]],RefTabTipo[],3,FALSE),0)</f>
        <v>60</v>
      </c>
      <c r="J54" s="1620">
        <f>IFERROR(VLOOKUP(Financeiros[[#This Row],[Tipo]],RefTabTipo[],4,FALSE),0)</f>
        <v>241</v>
      </c>
      <c r="K54" s="1649">
        <f>IFERROR(VLOOKUP(Financeiros[[#This Row],[Grupo Tarifário]],RefTabGrupoTarifa[],2,FALSE),0)</f>
        <v>1</v>
      </c>
      <c r="L54" s="1619">
        <f>IFERROR(VLOOKUP(Financeiros[[#This Row],[Grupo Tarifário]],RefTabGrupoTarifa[],3,FALSE),0)</f>
        <v>1</v>
      </c>
      <c r="M54" s="1649">
        <f>IFERROR(VLOOKUP(Financeiros[[#This Row],[Grupo Tarifário]],RefTabGrupoTarifa[],4,FALSE),0)</f>
        <v>9</v>
      </c>
    </row>
    <row r="55" spans="3:23" ht="16.5">
      <c r="C55" s="1670" t="s">
        <v>2109</v>
      </c>
      <c r="D55" s="1655">
        <f>IFERROR(CVE!$D$12*Resultado!D27/SUM(Resultado!$D$25:$D$29),0)</f>
        <v>0</v>
      </c>
      <c r="E55" s="1630">
        <f t="shared" ca="1" si="0"/>
        <v>0</v>
      </c>
      <c r="F55" s="1618" t="s">
        <v>2233</v>
      </c>
      <c r="G55" s="1637" t="s">
        <v>2265</v>
      </c>
      <c r="H55" s="1619">
        <f>IFERROR(VLOOKUP(Financeiros[[#This Row],[Tipo]],RefTabTipo[],2,FALSE),0)</f>
        <v>22</v>
      </c>
      <c r="I55" s="1643">
        <f>IFERROR(VLOOKUP(Financeiros[[#This Row],[Tipo]],RefTabTipo[],3,FALSE),0)</f>
        <v>60</v>
      </c>
      <c r="J55" s="1620">
        <f>IFERROR(VLOOKUP(Financeiros[[#This Row],[Tipo]],RefTabTipo[],4,FALSE),0)</f>
        <v>241</v>
      </c>
      <c r="K55" s="1649">
        <f>IFERROR(VLOOKUP(Financeiros[[#This Row],[Grupo Tarifário]],RefTabGrupoTarifa[],2,FALSE),0)</f>
        <v>1</v>
      </c>
      <c r="L55" s="1619">
        <f>IFERROR(VLOOKUP(Financeiros[[#This Row],[Grupo Tarifário]],RefTabGrupoTarifa[],3,FALSE),0)</f>
        <v>1</v>
      </c>
      <c r="M55" s="1649">
        <f>IFERROR(VLOOKUP(Financeiros[[#This Row],[Grupo Tarifário]],RefTabGrupoTarifa[],4,FALSE),0)</f>
        <v>9</v>
      </c>
    </row>
    <row r="56" spans="3:23" ht="16.5">
      <c r="C56" s="1670" t="s">
        <v>2110</v>
      </c>
      <c r="D56" s="1655">
        <f>IFERROR(CVE!$D$12*Resultado!D29/SUM(Resultado!$D$25:$D$29),0)</f>
        <v>0</v>
      </c>
      <c r="E56" s="1630">
        <f t="shared" ca="1" si="0"/>
        <v>0</v>
      </c>
      <c r="F56" s="1618" t="s">
        <v>2233</v>
      </c>
      <c r="G56" s="1637" t="s">
        <v>2265</v>
      </c>
      <c r="H56" s="1619">
        <f>IFERROR(VLOOKUP(Financeiros[[#This Row],[Tipo]],RefTabTipo[],2,FALSE),0)</f>
        <v>22</v>
      </c>
      <c r="I56" s="1643">
        <f>IFERROR(VLOOKUP(Financeiros[[#This Row],[Tipo]],RefTabTipo[],3,FALSE),0)</f>
        <v>60</v>
      </c>
      <c r="J56" s="1620">
        <f>IFERROR(VLOOKUP(Financeiros[[#This Row],[Tipo]],RefTabTipo[],4,FALSE),0)</f>
        <v>241</v>
      </c>
      <c r="K56" s="1649">
        <f>IFERROR(VLOOKUP(Financeiros[[#This Row],[Grupo Tarifário]],RefTabGrupoTarifa[],2,FALSE),0)</f>
        <v>1</v>
      </c>
      <c r="L56" s="1619">
        <f>IFERROR(VLOOKUP(Financeiros[[#This Row],[Grupo Tarifário]],RefTabGrupoTarifa[],3,FALSE),0)</f>
        <v>1</v>
      </c>
      <c r="M56" s="1649">
        <f>IFERROR(VLOOKUP(Financeiros[[#This Row],[Grupo Tarifário]],RefTabGrupoTarifa[],4,FALSE),0)</f>
        <v>9</v>
      </c>
    </row>
    <row r="57" spans="3:23" ht="16.5">
      <c r="C57" s="1670" t="s">
        <v>2111</v>
      </c>
      <c r="D57" s="1655">
        <f>CVE!D15</f>
        <v>0</v>
      </c>
      <c r="E57" s="1630">
        <f t="shared" ca="1" si="0"/>
        <v>0</v>
      </c>
      <c r="F57" s="1618" t="s">
        <v>2233</v>
      </c>
      <c r="G57" s="1637" t="s">
        <v>2273</v>
      </c>
      <c r="H57" s="1619">
        <f>IFERROR(VLOOKUP(Financeiros[[#This Row],[Tipo]],RefTabTipo[],2,FALSE),0)</f>
        <v>22</v>
      </c>
      <c r="I57" s="1643">
        <f>IFERROR(VLOOKUP(Financeiros[[#This Row],[Tipo]],RefTabTipo[],3,FALSE),0)</f>
        <v>60</v>
      </c>
      <c r="J57" s="1620">
        <f>IFERROR(VLOOKUP(Financeiros[[#This Row],[Tipo]],RefTabTipo[],4,FALSE),0)</f>
        <v>241</v>
      </c>
      <c r="K57" s="1649">
        <f>IFERROR(VLOOKUP(Financeiros[[#This Row],[Grupo Tarifário]],RefTabGrupoTarifa[],2,FALSE),0)</f>
        <v>1</v>
      </c>
      <c r="L57" s="1619">
        <f>IFERROR(VLOOKUP(Financeiros[[#This Row],[Grupo Tarifário]],RefTabGrupoTarifa[],3,FALSE),0)</f>
        <v>21</v>
      </c>
      <c r="M57" s="1649">
        <f>IFERROR(VLOOKUP(Financeiros[[#This Row],[Grupo Tarifário]],RefTabGrupoTarifa[],4,FALSE),0)</f>
        <v>9</v>
      </c>
      <c r="T57" s="1759"/>
      <c r="U57" s="1317" t="s">
        <v>2380</v>
      </c>
      <c r="V57" s="1317" t="s">
        <v>2381</v>
      </c>
      <c r="W57" s="1317" t="s">
        <v>2382</v>
      </c>
    </row>
    <row r="58" spans="3:23" ht="16.5">
      <c r="C58" s="1670" t="s">
        <v>2112</v>
      </c>
      <c r="D58" s="1655">
        <f ca="1">IFERROR(CVE!$D$13*H2,0)</f>
        <v>-51311.773742956604</v>
      </c>
      <c r="E58" s="1630">
        <f t="shared" ca="1" si="0"/>
        <v>-9.6926277665139032E-3</v>
      </c>
      <c r="F58" s="1618" t="s">
        <v>2233</v>
      </c>
      <c r="G58" s="1637" t="s">
        <v>2257</v>
      </c>
      <c r="H58" s="1619">
        <f>IFERROR(VLOOKUP(Financeiros[[#This Row],[Tipo]],RefTabTipo[],2,FALSE),0)</f>
        <v>22</v>
      </c>
      <c r="I58" s="1643">
        <f>IFERROR(VLOOKUP(Financeiros[[#This Row],[Tipo]],RefTabTipo[],3,FALSE),0)</f>
        <v>60</v>
      </c>
      <c r="J58" s="1620">
        <f>IFERROR(VLOOKUP(Financeiros[[#This Row],[Tipo]],RefTabTipo[],4,FALSE),0)</f>
        <v>241</v>
      </c>
      <c r="K58" s="1649">
        <f>IFERROR(VLOOKUP(Financeiros[[#This Row],[Grupo Tarifário]],RefTabGrupoTarifa[],2,FALSE),0)</f>
        <v>2</v>
      </c>
      <c r="L58" s="1619">
        <f>IFERROR(VLOOKUP(Financeiros[[#This Row],[Grupo Tarifário]],RefTabGrupoTarifa[],3,FALSE),0)</f>
        <v>11</v>
      </c>
      <c r="M58" s="1649">
        <f>IFERROR(VLOOKUP(Financeiros[[#This Row],[Grupo Tarifário]],RefTabGrupoTarifa[],4,FALSE),0)</f>
        <v>9</v>
      </c>
      <c r="S58" s="68">
        <v>0.29073332859815193</v>
      </c>
      <c r="T58" s="1759" t="s">
        <v>753</v>
      </c>
      <c r="U58" s="1760">
        <f>S58*U60</f>
        <v>47046.036886672802</v>
      </c>
      <c r="V58" s="1761">
        <f>-D9</f>
        <v>-21613.100516236267</v>
      </c>
      <c r="W58" s="1761">
        <f>SUM(U58:V58)</f>
        <v>25432.936370436535</v>
      </c>
    </row>
    <row r="59" spans="3:23" ht="16.5">
      <c r="C59" s="1670" t="s">
        <v>2113</v>
      </c>
      <c r="D59" s="1655">
        <f ca="1">IFERROR(CVE!$D$13*H3,0)</f>
        <v>0</v>
      </c>
      <c r="E59" s="1630">
        <f t="shared" ca="1" si="0"/>
        <v>0</v>
      </c>
      <c r="F59" s="1618" t="s">
        <v>2233</v>
      </c>
      <c r="G59" s="1637" t="s">
        <v>2259</v>
      </c>
      <c r="H59" s="1619">
        <f>IFERROR(VLOOKUP(Financeiros[[#This Row],[Tipo]],RefTabTipo[],2,FALSE),0)</f>
        <v>22</v>
      </c>
      <c r="I59" s="1643">
        <f>IFERROR(VLOOKUP(Financeiros[[#This Row],[Tipo]],RefTabTipo[],3,FALSE),0)</f>
        <v>60</v>
      </c>
      <c r="J59" s="1620">
        <f>IFERROR(VLOOKUP(Financeiros[[#This Row],[Tipo]],RefTabTipo[],4,FALSE),0)</f>
        <v>241</v>
      </c>
      <c r="K59" s="1649">
        <f>IFERROR(VLOOKUP(Financeiros[[#This Row],[Grupo Tarifário]],RefTabGrupoTarifa[],2,FALSE),0)</f>
        <v>2</v>
      </c>
      <c r="L59" s="1619">
        <f>IFERROR(VLOOKUP(Financeiros[[#This Row],[Grupo Tarifário]],RefTabGrupoTarifa[],3,FALSE),0)</f>
        <v>9</v>
      </c>
      <c r="M59" s="1649">
        <f>IFERROR(VLOOKUP(Financeiros[[#This Row],[Grupo Tarifário]],RefTabGrupoTarifa[],4,FALSE),0)</f>
        <v>9</v>
      </c>
      <c r="O59" s="837"/>
      <c r="S59" s="68">
        <v>0.70926667140184807</v>
      </c>
      <c r="T59" s="1759" t="s">
        <v>971</v>
      </c>
      <c r="U59" s="1760">
        <f>S59*U60</f>
        <v>114772.48290092012</v>
      </c>
      <c r="V59" s="1761">
        <f ca="1">-SUM(D10:D14)</f>
        <v>-39825.517695316033</v>
      </c>
      <c r="W59" s="1761">
        <f ca="1">SUM(U59:V59)</f>
        <v>74946.965205604094</v>
      </c>
    </row>
    <row r="60" spans="3:23" ht="16.5">
      <c r="C60" s="1670" t="s">
        <v>2114</v>
      </c>
      <c r="D60" s="1655">
        <f ca="1">IFERROR(CVE!$D$13*H4,0)</f>
        <v>-6938.239019343052</v>
      </c>
      <c r="E60" s="1630">
        <f t="shared" ca="1" si="0"/>
        <v>-1.3106108649932572E-3</v>
      </c>
      <c r="F60" s="1618" t="s">
        <v>2233</v>
      </c>
      <c r="G60" s="1637" t="s">
        <v>2262</v>
      </c>
      <c r="H60" s="1619">
        <f>IFERROR(VLOOKUP(Financeiros[[#This Row],[Tipo]],RefTabTipo[],2,FALSE),0)</f>
        <v>22</v>
      </c>
      <c r="I60" s="1643">
        <f>IFERROR(VLOOKUP(Financeiros[[#This Row],[Tipo]],RefTabTipo[],3,FALSE),0)</f>
        <v>60</v>
      </c>
      <c r="J60" s="1620">
        <f>IFERROR(VLOOKUP(Financeiros[[#This Row],[Tipo]],RefTabTipo[],4,FALSE),0)</f>
        <v>241</v>
      </c>
      <c r="K60" s="1649">
        <f>IFERROR(VLOOKUP(Financeiros[[#This Row],[Grupo Tarifário]],RefTabGrupoTarifa[],2,FALSE),0)</f>
        <v>2</v>
      </c>
      <c r="L60" s="1619">
        <f>IFERROR(VLOOKUP(Financeiros[[#This Row],[Grupo Tarifário]],RefTabGrupoTarifa[],3,FALSE),0)</f>
        <v>8</v>
      </c>
      <c r="M60" s="1649">
        <f>IFERROR(VLOOKUP(Financeiros[[#This Row],[Grupo Tarifário]],RefTabGrupoTarifa[],4,FALSE),0)</f>
        <v>9</v>
      </c>
      <c r="O60" s="837"/>
      <c r="T60" s="1759"/>
      <c r="U60" s="1762">
        <f>Indexador!G17</f>
        <v>161818.51978759293</v>
      </c>
      <c r="V60" s="1761">
        <f ca="1">SUM(V58:V59)</f>
        <v>-61438.618211552297</v>
      </c>
      <c r="W60" s="1763"/>
    </row>
    <row r="61" spans="3:23" ht="16.5">
      <c r="C61" s="1670" t="s">
        <v>2115</v>
      </c>
      <c r="D61" s="1655">
        <f ca="1">IFERROR(CVE!$D$13*H5,0)</f>
        <v>-54.066443536942607</v>
      </c>
      <c r="E61" s="1630">
        <f t="shared" ca="1" si="0"/>
        <v>-1.0212975963138676E-5</v>
      </c>
      <c r="F61" s="1618" t="s">
        <v>2233</v>
      </c>
      <c r="G61" s="1637" t="s">
        <v>2260</v>
      </c>
      <c r="H61" s="1619">
        <f>IFERROR(VLOOKUP(Financeiros[[#This Row],[Tipo]],RefTabTipo[],2,FALSE),0)</f>
        <v>22</v>
      </c>
      <c r="I61" s="1643">
        <f>IFERROR(VLOOKUP(Financeiros[[#This Row],[Tipo]],RefTabTipo[],3,FALSE),0)</f>
        <v>60</v>
      </c>
      <c r="J61" s="1620">
        <f>IFERROR(VLOOKUP(Financeiros[[#This Row],[Tipo]],RefTabTipo[],4,FALSE),0)</f>
        <v>241</v>
      </c>
      <c r="K61" s="1649">
        <f>IFERROR(VLOOKUP(Financeiros[[#This Row],[Grupo Tarifário]],RefTabGrupoTarifa[],2,FALSE),0)</f>
        <v>2</v>
      </c>
      <c r="L61" s="1619">
        <f>IFERROR(VLOOKUP(Financeiros[[#This Row],[Grupo Tarifário]],RefTabGrupoTarifa[],3,FALSE),0)</f>
        <v>10</v>
      </c>
      <c r="M61" s="1649">
        <f>IFERROR(VLOOKUP(Financeiros[[#This Row],[Grupo Tarifário]],RefTabGrupoTarifa[],4,FALSE),0)</f>
        <v>9</v>
      </c>
      <c r="O61" s="837"/>
    </row>
    <row r="62" spans="3:23" ht="16.5">
      <c r="C62" s="1670" t="s">
        <v>2116</v>
      </c>
      <c r="D62" s="1655">
        <f ca="1">IFERROR(CVE!$D$13*H6,0)</f>
        <v>-399.84859416339572</v>
      </c>
      <c r="E62" s="1630">
        <f t="shared" ca="1" si="0"/>
        <v>-7.5530103589951738E-5</v>
      </c>
      <c r="F62" s="1618" t="s">
        <v>2233</v>
      </c>
      <c r="G62" s="1637" t="s">
        <v>2261</v>
      </c>
      <c r="H62" s="1619">
        <f>IFERROR(VLOOKUP(Financeiros[[#This Row],[Tipo]],RefTabTipo[],2,FALSE),0)</f>
        <v>22</v>
      </c>
      <c r="I62" s="1643">
        <f>IFERROR(VLOOKUP(Financeiros[[#This Row],[Tipo]],RefTabTipo[],3,FALSE),0)</f>
        <v>60</v>
      </c>
      <c r="J62" s="1620">
        <f>IFERROR(VLOOKUP(Financeiros[[#This Row],[Tipo]],RefTabTipo[],4,FALSE),0)</f>
        <v>241</v>
      </c>
      <c r="K62" s="1649">
        <f>IFERROR(VLOOKUP(Financeiros[[#This Row],[Grupo Tarifário]],RefTabGrupoTarifa[],2,FALSE),0)</f>
        <v>2</v>
      </c>
      <c r="L62" s="1619">
        <f>IFERROR(VLOOKUP(Financeiros[[#This Row],[Grupo Tarifário]],RefTabGrupoTarifa[],3,FALSE),0)</f>
        <v>24</v>
      </c>
      <c r="M62" s="1649">
        <f>IFERROR(VLOOKUP(Financeiros[[#This Row],[Grupo Tarifário]],RefTabGrupoTarifa[],4,FALSE),0)</f>
        <v>9</v>
      </c>
    </row>
    <row r="63" spans="3:23" ht="16.5">
      <c r="C63" s="1670" t="s">
        <v>2117</v>
      </c>
      <c r="D63" s="1655">
        <f>IFERROR(CVE!$D$16,0)</f>
        <v>0</v>
      </c>
      <c r="E63" s="1630">
        <f t="shared" ca="1" si="0"/>
        <v>0</v>
      </c>
      <c r="F63" s="1618" t="s">
        <v>2233</v>
      </c>
      <c r="G63" s="1637" t="s">
        <v>2254</v>
      </c>
      <c r="H63" s="1619">
        <f>IFERROR(VLOOKUP(Financeiros[[#This Row],[Tipo]],RefTabTipo[],2,FALSE),0)</f>
        <v>22</v>
      </c>
      <c r="I63" s="1643">
        <f>IFERROR(VLOOKUP(Financeiros[[#This Row],[Tipo]],RefTabTipo[],3,FALSE),0)</f>
        <v>60</v>
      </c>
      <c r="J63" s="1620">
        <f>IFERROR(VLOOKUP(Financeiros[[#This Row],[Tipo]],RefTabTipo[],4,FALSE),0)</f>
        <v>241</v>
      </c>
      <c r="K63" s="1649">
        <f>IFERROR(VLOOKUP(Financeiros[[#This Row],[Grupo Tarifário]],RefTabGrupoTarifa[],2,FALSE),0)</f>
        <v>3</v>
      </c>
      <c r="L63" s="1619">
        <f>IFERROR(VLOOKUP(Financeiros[[#This Row],[Grupo Tarifário]],RefTabGrupoTarifa[],3,FALSE),0)</f>
        <v>18</v>
      </c>
      <c r="M63" s="1649">
        <f>IFERROR(VLOOKUP(Financeiros[[#This Row],[Grupo Tarifário]],RefTabGrupoTarifa[],4,FALSE),0)</f>
        <v>9</v>
      </c>
    </row>
    <row r="64" spans="3:23" ht="16.5">
      <c r="C64" s="1670" t="s">
        <v>2118</v>
      </c>
      <c r="D64" s="1655">
        <f>CVE!D14</f>
        <v>0</v>
      </c>
      <c r="E64" s="1630">
        <f t="shared" ca="1" si="0"/>
        <v>0</v>
      </c>
      <c r="F64" s="1618" t="s">
        <v>2233</v>
      </c>
      <c r="G64" s="1637" t="s">
        <v>2251</v>
      </c>
      <c r="H64" s="1619">
        <f>IFERROR(VLOOKUP(Financeiros[[#This Row],[Tipo]],RefTabTipo[],2,FALSE),0)</f>
        <v>22</v>
      </c>
      <c r="I64" s="1643">
        <f>IFERROR(VLOOKUP(Financeiros[[#This Row],[Tipo]],RefTabTipo[],3,FALSE),0)</f>
        <v>60</v>
      </c>
      <c r="J64" s="1620">
        <f>IFERROR(VLOOKUP(Financeiros[[#This Row],[Tipo]],RefTabTipo[],4,FALSE),0)</f>
        <v>241</v>
      </c>
      <c r="K64" s="1649">
        <f>IFERROR(VLOOKUP(Financeiros[[#This Row],[Grupo Tarifário]],RefTabGrupoTarifa[],2,FALSE),0)</f>
        <v>3</v>
      </c>
      <c r="L64" s="1619">
        <f>IFERROR(VLOOKUP(Financeiros[[#This Row],[Grupo Tarifário]],RefTabGrupoTarifa[],3,FALSE),0)</f>
        <v>16</v>
      </c>
      <c r="M64" s="1649">
        <f>IFERROR(VLOOKUP(Financeiros[[#This Row],[Grupo Tarifário]],RefTabGrupoTarifa[],4,FALSE),0)</f>
        <v>9</v>
      </c>
    </row>
    <row r="65" spans="3:13" ht="16.5">
      <c r="C65" s="1670" t="s">
        <v>2119</v>
      </c>
      <c r="D65" s="1655">
        <f>CVE!D17</f>
        <v>60497.069499999998</v>
      </c>
      <c r="E65" s="1630">
        <f t="shared" ca="1" si="0"/>
        <v>1.1427700366895057E-2</v>
      </c>
      <c r="F65" s="1618" t="s">
        <v>2233</v>
      </c>
      <c r="G65" s="1637" t="s">
        <v>2244</v>
      </c>
      <c r="H65" s="1619">
        <f>IFERROR(VLOOKUP(Financeiros[[#This Row],[Tipo]],RefTabTipo[],2,FALSE),0)</f>
        <v>22</v>
      </c>
      <c r="I65" s="1643">
        <f>IFERROR(VLOOKUP(Financeiros[[#This Row],[Tipo]],RefTabTipo[],3,FALSE),0)</f>
        <v>60</v>
      </c>
      <c r="J65" s="1620">
        <f>IFERROR(VLOOKUP(Financeiros[[#This Row],[Tipo]],RefTabTipo[],4,FALSE),0)</f>
        <v>241</v>
      </c>
      <c r="K65" s="1649">
        <f>IFERROR(VLOOKUP(Financeiros[[#This Row],[Grupo Tarifário]],RefTabGrupoTarifa[],2,FALSE),0)</f>
        <v>3</v>
      </c>
      <c r="L65" s="1619">
        <f>IFERROR(VLOOKUP(Financeiros[[#This Row],[Grupo Tarifário]],RefTabGrupoTarifa[],3,FALSE),0)</f>
        <v>17</v>
      </c>
      <c r="M65" s="1649">
        <f>IFERROR(VLOOKUP(Financeiros[[#This Row],[Grupo Tarifário]],RefTabGrupoTarifa[],4,FALSE),0)</f>
        <v>9</v>
      </c>
    </row>
    <row r="66" spans="3:13" ht="16.5">
      <c r="C66" s="1671" t="s">
        <v>2091</v>
      </c>
      <c r="D66" s="1778">
        <f ca="1">IFERROR('Financeiros Mitigação'!$D$5*H2,0)</f>
        <v>0</v>
      </c>
      <c r="E66" s="1631">
        <f t="shared" ca="1" si="0"/>
        <v>0</v>
      </c>
      <c r="F66" s="1615" t="s">
        <v>2235</v>
      </c>
      <c r="G66" s="1638" t="s">
        <v>2257</v>
      </c>
      <c r="H66" s="1616">
        <f>IFERROR(VLOOKUP(Financeiros[[#This Row],[Tipo]],RefTabTipo[],2,FALSE),0)</f>
        <v>22</v>
      </c>
      <c r="I66" s="1644">
        <f>IFERROR(VLOOKUP(Financeiros[[#This Row],[Tipo]],RefTabTipo[],3,FALSE),0)</f>
        <v>60</v>
      </c>
      <c r="J66" s="1617">
        <f>IFERROR(VLOOKUP(Financeiros[[#This Row],[Tipo]],RefTabTipo[],4,FALSE),0)</f>
        <v>240</v>
      </c>
      <c r="K66" s="1650">
        <f>IFERROR(VLOOKUP(Financeiros[[#This Row],[Grupo Tarifário]],RefTabGrupoTarifa[],2,FALSE),0)</f>
        <v>2</v>
      </c>
      <c r="L66" s="1616">
        <f>IFERROR(VLOOKUP(Financeiros[[#This Row],[Grupo Tarifário]],RefTabGrupoTarifa[],3,FALSE),0)</f>
        <v>11</v>
      </c>
      <c r="M66" s="1650">
        <f>IFERROR(VLOOKUP(Financeiros[[#This Row],[Grupo Tarifário]],RefTabGrupoTarifa[],4,FALSE),0)</f>
        <v>9</v>
      </c>
    </row>
    <row r="67" spans="3:13" ht="16.5">
      <c r="C67" s="1671" t="s">
        <v>2092</v>
      </c>
      <c r="D67" s="1778">
        <f ca="1">IFERROR('Financeiros Mitigação'!$D$5*H3,0)</f>
        <v>0</v>
      </c>
      <c r="E67" s="1631">
        <f t="shared" ca="1" si="0"/>
        <v>0</v>
      </c>
      <c r="F67" s="1615" t="s">
        <v>2235</v>
      </c>
      <c r="G67" s="1638" t="s">
        <v>2259</v>
      </c>
      <c r="H67" s="1616">
        <f>IFERROR(VLOOKUP(Financeiros[[#This Row],[Tipo]],RefTabTipo[],2,FALSE),0)</f>
        <v>22</v>
      </c>
      <c r="I67" s="1644">
        <f>IFERROR(VLOOKUP(Financeiros[[#This Row],[Tipo]],RefTabTipo[],3,FALSE),0)</f>
        <v>60</v>
      </c>
      <c r="J67" s="1617">
        <f>IFERROR(VLOOKUP(Financeiros[[#This Row],[Tipo]],RefTabTipo[],4,FALSE),0)</f>
        <v>240</v>
      </c>
      <c r="K67" s="1650">
        <f>IFERROR(VLOOKUP(Financeiros[[#This Row],[Grupo Tarifário]],RefTabGrupoTarifa[],2,FALSE),0)</f>
        <v>2</v>
      </c>
      <c r="L67" s="1616">
        <f>IFERROR(VLOOKUP(Financeiros[[#This Row],[Grupo Tarifário]],RefTabGrupoTarifa[],3,FALSE),0)</f>
        <v>9</v>
      </c>
      <c r="M67" s="1650">
        <f>IFERROR(VLOOKUP(Financeiros[[#This Row],[Grupo Tarifário]],RefTabGrupoTarifa[],4,FALSE),0)</f>
        <v>9</v>
      </c>
    </row>
    <row r="68" spans="3:13" ht="16.5">
      <c r="C68" s="1671" t="s">
        <v>2093</v>
      </c>
      <c r="D68" s="1778">
        <f ca="1">IFERROR('Financeiros Mitigação'!$D$5*H4,0)</f>
        <v>0</v>
      </c>
      <c r="E68" s="1631">
        <f t="shared" ca="1" si="0"/>
        <v>0</v>
      </c>
      <c r="F68" s="1615" t="s">
        <v>2235</v>
      </c>
      <c r="G68" s="1638" t="s">
        <v>2262</v>
      </c>
      <c r="H68" s="1616">
        <f>IFERROR(VLOOKUP(Financeiros[[#This Row],[Tipo]],RefTabTipo[],2,FALSE),0)</f>
        <v>22</v>
      </c>
      <c r="I68" s="1644">
        <f>IFERROR(VLOOKUP(Financeiros[[#This Row],[Tipo]],RefTabTipo[],3,FALSE),0)</f>
        <v>60</v>
      </c>
      <c r="J68" s="1617">
        <f>IFERROR(VLOOKUP(Financeiros[[#This Row],[Tipo]],RefTabTipo[],4,FALSE),0)</f>
        <v>240</v>
      </c>
      <c r="K68" s="1650">
        <f>IFERROR(VLOOKUP(Financeiros[[#This Row],[Grupo Tarifário]],RefTabGrupoTarifa[],2,FALSE),0)</f>
        <v>2</v>
      </c>
      <c r="L68" s="1616">
        <f>IFERROR(VLOOKUP(Financeiros[[#This Row],[Grupo Tarifário]],RefTabGrupoTarifa[],3,FALSE),0)</f>
        <v>8</v>
      </c>
      <c r="M68" s="1650">
        <f>IFERROR(VLOOKUP(Financeiros[[#This Row],[Grupo Tarifário]],RefTabGrupoTarifa[],4,FALSE),0)</f>
        <v>9</v>
      </c>
    </row>
    <row r="69" spans="3:13" ht="16.5">
      <c r="C69" s="1671" t="s">
        <v>2094</v>
      </c>
      <c r="D69" s="1778">
        <f ca="1">IFERROR('Financeiros Mitigação'!$D$5*H5,0)</f>
        <v>0</v>
      </c>
      <c r="E69" s="1631">
        <f t="shared" ca="1" si="0"/>
        <v>0</v>
      </c>
      <c r="F69" s="1615" t="s">
        <v>2235</v>
      </c>
      <c r="G69" s="1638" t="s">
        <v>2260</v>
      </c>
      <c r="H69" s="1616">
        <f>IFERROR(VLOOKUP(Financeiros[[#This Row],[Tipo]],RefTabTipo[],2,FALSE),0)</f>
        <v>22</v>
      </c>
      <c r="I69" s="1644">
        <f>IFERROR(VLOOKUP(Financeiros[[#This Row],[Tipo]],RefTabTipo[],3,FALSE),0)</f>
        <v>60</v>
      </c>
      <c r="J69" s="1617">
        <f>IFERROR(VLOOKUP(Financeiros[[#This Row],[Tipo]],RefTabTipo[],4,FALSE),0)</f>
        <v>240</v>
      </c>
      <c r="K69" s="1650">
        <f>IFERROR(VLOOKUP(Financeiros[[#This Row],[Grupo Tarifário]],RefTabGrupoTarifa[],2,FALSE),0)</f>
        <v>2</v>
      </c>
      <c r="L69" s="1616">
        <f>IFERROR(VLOOKUP(Financeiros[[#This Row],[Grupo Tarifário]],RefTabGrupoTarifa[],3,FALSE),0)</f>
        <v>10</v>
      </c>
      <c r="M69" s="1650">
        <f>IFERROR(VLOOKUP(Financeiros[[#This Row],[Grupo Tarifário]],RefTabGrupoTarifa[],4,FALSE),0)</f>
        <v>9</v>
      </c>
    </row>
    <row r="70" spans="3:13" ht="16.5">
      <c r="C70" s="1671" t="s">
        <v>2095</v>
      </c>
      <c r="D70" s="1778">
        <f ca="1">IFERROR('Financeiros Mitigação'!$D$5*H6,0)</f>
        <v>0</v>
      </c>
      <c r="E70" s="1631">
        <f t="shared" ca="1" si="0"/>
        <v>0</v>
      </c>
      <c r="F70" s="1615" t="s">
        <v>2235</v>
      </c>
      <c r="G70" s="1638" t="s">
        <v>2261</v>
      </c>
      <c r="H70" s="1616">
        <f>IFERROR(VLOOKUP(Financeiros[[#This Row],[Tipo]],RefTabTipo[],2,FALSE),0)</f>
        <v>22</v>
      </c>
      <c r="I70" s="1644">
        <f>IFERROR(VLOOKUP(Financeiros[[#This Row],[Tipo]],RefTabTipo[],3,FALSE),0)</f>
        <v>60</v>
      </c>
      <c r="J70" s="1617">
        <f>IFERROR(VLOOKUP(Financeiros[[#This Row],[Tipo]],RefTabTipo[],4,FALSE),0)</f>
        <v>240</v>
      </c>
      <c r="K70" s="1650">
        <f>IFERROR(VLOOKUP(Financeiros[[#This Row],[Grupo Tarifário]],RefTabGrupoTarifa[],2,FALSE),0)</f>
        <v>2</v>
      </c>
      <c r="L70" s="1616">
        <f>IFERROR(VLOOKUP(Financeiros[[#This Row],[Grupo Tarifário]],RefTabGrupoTarifa[],3,FALSE),0)</f>
        <v>24</v>
      </c>
      <c r="M70" s="1650">
        <f>IFERROR(VLOOKUP(Financeiros[[#This Row],[Grupo Tarifário]],RefTabGrupoTarifa[],4,FALSE),0)</f>
        <v>9</v>
      </c>
    </row>
    <row r="71" spans="3:13" ht="16.5">
      <c r="C71" s="1671" t="s">
        <v>2096</v>
      </c>
      <c r="D71" s="1778">
        <f>IFERROR('Financeiros Mitigação'!D6,0)</f>
        <v>-45482.544057402913</v>
      </c>
      <c r="E71" s="1631">
        <f t="shared" ca="1" si="0"/>
        <v>-8.5915051705455561E-3</v>
      </c>
      <c r="F71" s="1615" t="s">
        <v>2235</v>
      </c>
      <c r="G71" s="1638" t="s">
        <v>2244</v>
      </c>
      <c r="H71" s="1616">
        <f>IFERROR(VLOOKUP(Financeiros[[#This Row],[Tipo]],RefTabTipo[],2,FALSE),0)</f>
        <v>22</v>
      </c>
      <c r="I71" s="1644">
        <f>IFERROR(VLOOKUP(Financeiros[[#This Row],[Tipo]],RefTabTipo[],3,FALSE),0)</f>
        <v>60</v>
      </c>
      <c r="J71" s="1617">
        <f>IFERROR(VLOOKUP(Financeiros[[#This Row],[Tipo]],RefTabTipo[],4,FALSE),0)</f>
        <v>240</v>
      </c>
      <c r="K71" s="1650">
        <f>IFERROR(VLOOKUP(Financeiros[[#This Row],[Grupo Tarifário]],RefTabGrupoTarifa[],2,FALSE),0)</f>
        <v>3</v>
      </c>
      <c r="L71" s="1616">
        <f>IFERROR(VLOOKUP(Financeiros[[#This Row],[Grupo Tarifário]],RefTabGrupoTarifa[],3,FALSE),0)</f>
        <v>17</v>
      </c>
      <c r="M71" s="1650">
        <f>IFERROR(VLOOKUP(Financeiros[[#This Row],[Grupo Tarifário]],RefTabGrupoTarifa[],4,FALSE),0)</f>
        <v>9</v>
      </c>
    </row>
    <row r="72" spans="3:13" ht="16.5">
      <c r="C72" s="1671" t="s">
        <v>2097</v>
      </c>
      <c r="D72" s="1778">
        <f ca="1">IFERROR('Financeiros Mitigação'!$D$7*H2,0)</f>
        <v>0</v>
      </c>
      <c r="E72" s="1631">
        <f t="shared" ca="1" si="0"/>
        <v>0</v>
      </c>
      <c r="F72" s="1615" t="s">
        <v>2235</v>
      </c>
      <c r="G72" s="1638" t="s">
        <v>2257</v>
      </c>
      <c r="H72" s="1616">
        <f>IFERROR(VLOOKUP(Financeiros[[#This Row],[Tipo]],RefTabTipo[],2,FALSE),0)</f>
        <v>22</v>
      </c>
      <c r="I72" s="1644">
        <f>IFERROR(VLOOKUP(Financeiros[[#This Row],[Tipo]],RefTabTipo[],3,FALSE),0)</f>
        <v>60</v>
      </c>
      <c r="J72" s="1617">
        <f>IFERROR(VLOOKUP(Financeiros[[#This Row],[Tipo]],RefTabTipo[],4,FALSE),0)</f>
        <v>240</v>
      </c>
      <c r="K72" s="1650">
        <f>IFERROR(VLOOKUP(Financeiros[[#This Row],[Grupo Tarifário]],RefTabGrupoTarifa[],2,FALSE),0)</f>
        <v>2</v>
      </c>
      <c r="L72" s="1616">
        <f>IFERROR(VLOOKUP(Financeiros[[#This Row],[Grupo Tarifário]],RefTabGrupoTarifa[],3,FALSE),0)</f>
        <v>11</v>
      </c>
      <c r="M72" s="1650">
        <f>IFERROR(VLOOKUP(Financeiros[[#This Row],[Grupo Tarifário]],RefTabGrupoTarifa[],4,FALSE),0)</f>
        <v>9</v>
      </c>
    </row>
    <row r="73" spans="3:13" ht="16.5">
      <c r="C73" s="1671" t="s">
        <v>2098</v>
      </c>
      <c r="D73" s="1778">
        <f ca="1">IFERROR('Financeiros Mitigação'!$D$7*H3,0)</f>
        <v>0</v>
      </c>
      <c r="E73" s="1631">
        <f t="shared" ca="1" si="0"/>
        <v>0</v>
      </c>
      <c r="F73" s="1615" t="s">
        <v>2235</v>
      </c>
      <c r="G73" s="1638" t="s">
        <v>2259</v>
      </c>
      <c r="H73" s="1616">
        <f>IFERROR(VLOOKUP(Financeiros[[#This Row],[Tipo]],RefTabTipo[],2,FALSE),0)</f>
        <v>22</v>
      </c>
      <c r="I73" s="1644">
        <f>IFERROR(VLOOKUP(Financeiros[[#This Row],[Tipo]],RefTabTipo[],3,FALSE),0)</f>
        <v>60</v>
      </c>
      <c r="J73" s="1617">
        <f>IFERROR(VLOOKUP(Financeiros[[#This Row],[Tipo]],RefTabTipo[],4,FALSE),0)</f>
        <v>240</v>
      </c>
      <c r="K73" s="1650">
        <f>IFERROR(VLOOKUP(Financeiros[[#This Row],[Grupo Tarifário]],RefTabGrupoTarifa[],2,FALSE),0)</f>
        <v>2</v>
      </c>
      <c r="L73" s="1616">
        <f>IFERROR(VLOOKUP(Financeiros[[#This Row],[Grupo Tarifário]],RefTabGrupoTarifa[],3,FALSE),0)</f>
        <v>9</v>
      </c>
      <c r="M73" s="1650">
        <f>IFERROR(VLOOKUP(Financeiros[[#This Row],[Grupo Tarifário]],RefTabGrupoTarifa[],4,FALSE),0)</f>
        <v>9</v>
      </c>
    </row>
    <row r="74" spans="3:13" ht="16.5">
      <c r="C74" s="1671" t="s">
        <v>2099</v>
      </c>
      <c r="D74" s="1778">
        <f ca="1">IFERROR('Financeiros Mitigação'!$D$7*H4,0)</f>
        <v>0</v>
      </c>
      <c r="E74" s="1631">
        <f t="shared" ref="E74:E100" ca="1" si="1">IF(ISERROR(D74/$D$4),0,D74/$D$4)</f>
        <v>0</v>
      </c>
      <c r="F74" s="1615" t="s">
        <v>2235</v>
      </c>
      <c r="G74" s="1638" t="s">
        <v>2262</v>
      </c>
      <c r="H74" s="1616">
        <f>IFERROR(VLOOKUP(Financeiros[[#This Row],[Tipo]],RefTabTipo[],2,FALSE),0)</f>
        <v>22</v>
      </c>
      <c r="I74" s="1644">
        <f>IFERROR(VLOOKUP(Financeiros[[#This Row],[Tipo]],RefTabTipo[],3,FALSE),0)</f>
        <v>60</v>
      </c>
      <c r="J74" s="1617">
        <f>IFERROR(VLOOKUP(Financeiros[[#This Row],[Tipo]],RefTabTipo[],4,FALSE),0)</f>
        <v>240</v>
      </c>
      <c r="K74" s="1650">
        <f>IFERROR(VLOOKUP(Financeiros[[#This Row],[Grupo Tarifário]],RefTabGrupoTarifa[],2,FALSE),0)</f>
        <v>2</v>
      </c>
      <c r="L74" s="1616">
        <f>IFERROR(VLOOKUP(Financeiros[[#This Row],[Grupo Tarifário]],RefTabGrupoTarifa[],3,FALSE),0)</f>
        <v>8</v>
      </c>
      <c r="M74" s="1650">
        <f>IFERROR(VLOOKUP(Financeiros[[#This Row],[Grupo Tarifário]],RefTabGrupoTarifa[],4,FALSE),0)</f>
        <v>9</v>
      </c>
    </row>
    <row r="75" spans="3:13" ht="16.5">
      <c r="C75" s="1671" t="s">
        <v>2100</v>
      </c>
      <c r="D75" s="1778">
        <f ca="1">IFERROR('Financeiros Mitigação'!$D$7*H5,0)</f>
        <v>0</v>
      </c>
      <c r="E75" s="1631">
        <f t="shared" ca="1" si="1"/>
        <v>0</v>
      </c>
      <c r="F75" s="1615" t="s">
        <v>2235</v>
      </c>
      <c r="G75" s="1638" t="s">
        <v>2260</v>
      </c>
      <c r="H75" s="1616">
        <f>IFERROR(VLOOKUP(Financeiros[[#This Row],[Tipo]],RefTabTipo[],2,FALSE),0)</f>
        <v>22</v>
      </c>
      <c r="I75" s="1644">
        <f>IFERROR(VLOOKUP(Financeiros[[#This Row],[Tipo]],RefTabTipo[],3,FALSE),0)</f>
        <v>60</v>
      </c>
      <c r="J75" s="1617">
        <f>IFERROR(VLOOKUP(Financeiros[[#This Row],[Tipo]],RefTabTipo[],4,FALSE),0)</f>
        <v>240</v>
      </c>
      <c r="K75" s="1650">
        <f>IFERROR(VLOOKUP(Financeiros[[#This Row],[Grupo Tarifário]],RefTabGrupoTarifa[],2,FALSE),0)</f>
        <v>2</v>
      </c>
      <c r="L75" s="1616">
        <f>IFERROR(VLOOKUP(Financeiros[[#This Row],[Grupo Tarifário]],RefTabGrupoTarifa[],3,FALSE),0)</f>
        <v>10</v>
      </c>
      <c r="M75" s="1650">
        <f>IFERROR(VLOOKUP(Financeiros[[#This Row],[Grupo Tarifário]],RefTabGrupoTarifa[],4,FALSE),0)</f>
        <v>9</v>
      </c>
    </row>
    <row r="76" spans="3:13" ht="16.5">
      <c r="C76" s="1671" t="s">
        <v>2101</v>
      </c>
      <c r="D76" s="1778">
        <f ca="1">IFERROR('Financeiros Mitigação'!$D$7*H6,0)</f>
        <v>0</v>
      </c>
      <c r="E76" s="1631">
        <f t="shared" ca="1" si="1"/>
        <v>0</v>
      </c>
      <c r="F76" s="1638" t="s">
        <v>2235</v>
      </c>
      <c r="G76" s="1638" t="s">
        <v>2261</v>
      </c>
      <c r="H76" s="1650">
        <f>IFERROR(VLOOKUP(Financeiros[[#This Row],[Tipo]],RefTabTipo[],2,FALSE),0)</f>
        <v>22</v>
      </c>
      <c r="I76" s="1644">
        <f>IFERROR(VLOOKUP(Financeiros[[#This Row],[Tipo]],RefTabTipo[],3,FALSE),0)</f>
        <v>60</v>
      </c>
      <c r="J76" s="1644">
        <f>IFERROR(VLOOKUP(Financeiros[[#This Row],[Tipo]],RefTabTipo[],4,FALSE),0)</f>
        <v>240</v>
      </c>
      <c r="K76" s="1650">
        <f>IFERROR(VLOOKUP(Financeiros[[#This Row],[Grupo Tarifário]],RefTabGrupoTarifa[],2,FALSE),0)</f>
        <v>2</v>
      </c>
      <c r="L76" s="1650">
        <f>IFERROR(VLOOKUP(Financeiros[[#This Row],[Grupo Tarifário]],RefTabGrupoTarifa[],3,FALSE),0)</f>
        <v>24</v>
      </c>
      <c r="M76" s="1650">
        <f>IFERROR(VLOOKUP(Financeiros[[#This Row],[Grupo Tarifário]],RefTabGrupoTarifa[],4,FALSE),0)</f>
        <v>9</v>
      </c>
    </row>
    <row r="77" spans="3:13" ht="16.5">
      <c r="C77" s="1672" t="s">
        <v>2312</v>
      </c>
      <c r="D77" s="1669">
        <f ca="1">IFERROR(CVE!$I$9*H2,0)</f>
        <v>-644.87285515325732</v>
      </c>
      <c r="E77" s="1632">
        <f t="shared" ca="1" si="1"/>
        <v>-1.2181439240516504E-4</v>
      </c>
      <c r="F77" s="1639" t="s">
        <v>2240</v>
      </c>
      <c r="G77" s="1639" t="s">
        <v>2257</v>
      </c>
      <c r="H77" s="1651">
        <f>IFERROR(VLOOKUP(Financeiros[[#This Row],[Tipo]],RefTabTipo[],2,FALSE),0)</f>
        <v>22</v>
      </c>
      <c r="I77" s="1645">
        <f>IFERROR(VLOOKUP(Financeiros[[#This Row],[Tipo]],RefTabTipo[],3,FALSE),0)</f>
        <v>60</v>
      </c>
      <c r="J77" s="1645">
        <f>IFERROR(VLOOKUP(Financeiros[[#This Row],[Tipo]],RefTabTipo[],4,FALSE),0)</f>
        <v>106</v>
      </c>
      <c r="K77" s="1651">
        <f>IFERROR(VLOOKUP(Financeiros[[#This Row],[Grupo Tarifário]],RefTabGrupoTarifa[],2,FALSE),0)</f>
        <v>2</v>
      </c>
      <c r="L77" s="1651">
        <f>IFERROR(VLOOKUP(Financeiros[[#This Row],[Grupo Tarifário]],RefTabGrupoTarifa[],3,FALSE),0)</f>
        <v>11</v>
      </c>
      <c r="M77" s="1651">
        <f>IFERROR(VLOOKUP(Financeiros[[#This Row],[Grupo Tarifário]],RefTabGrupoTarifa[],4,FALSE),0)</f>
        <v>9</v>
      </c>
    </row>
    <row r="78" spans="3:13" ht="16.5">
      <c r="C78" s="1672" t="s">
        <v>2313</v>
      </c>
      <c r="D78" s="1669">
        <f ca="1">IFERROR(CVE!$I$9*H3,0)</f>
        <v>0</v>
      </c>
      <c r="E78" s="1632">
        <f t="shared" ca="1" si="1"/>
        <v>0</v>
      </c>
      <c r="F78" s="1639" t="s">
        <v>2240</v>
      </c>
      <c r="G78" s="1639" t="s">
        <v>2259</v>
      </c>
      <c r="H78" s="1651">
        <f>IFERROR(VLOOKUP(Financeiros[[#This Row],[Tipo]],RefTabTipo[],2,FALSE),0)</f>
        <v>22</v>
      </c>
      <c r="I78" s="1645">
        <f>IFERROR(VLOOKUP(Financeiros[[#This Row],[Tipo]],RefTabTipo[],3,FALSE),0)</f>
        <v>60</v>
      </c>
      <c r="J78" s="1645">
        <f>IFERROR(VLOOKUP(Financeiros[[#This Row],[Tipo]],RefTabTipo[],4,FALSE),0)</f>
        <v>106</v>
      </c>
      <c r="K78" s="1651">
        <f>IFERROR(VLOOKUP(Financeiros[[#This Row],[Grupo Tarifário]],RefTabGrupoTarifa[],2,FALSE),0)</f>
        <v>2</v>
      </c>
      <c r="L78" s="1651">
        <f>IFERROR(VLOOKUP(Financeiros[[#This Row],[Grupo Tarifário]],RefTabGrupoTarifa[],3,FALSE),0)</f>
        <v>9</v>
      </c>
      <c r="M78" s="1651">
        <f>IFERROR(VLOOKUP(Financeiros[[#This Row],[Grupo Tarifário]],RefTabGrupoTarifa[],4,FALSE),0)</f>
        <v>9</v>
      </c>
    </row>
    <row r="79" spans="3:13" ht="16.5">
      <c r="C79" s="1672" t="s">
        <v>2314</v>
      </c>
      <c r="D79" s="1669">
        <f ca="1">IFERROR(CVE!$I$9*H4,0)</f>
        <v>-87.197960229423188</v>
      </c>
      <c r="E79" s="1632">
        <f t="shared" ca="1" si="1"/>
        <v>-1.6471412092221755E-5</v>
      </c>
      <c r="F79" s="1639" t="s">
        <v>2240</v>
      </c>
      <c r="G79" s="1639" t="s">
        <v>2262</v>
      </c>
      <c r="H79" s="1651">
        <f>IFERROR(VLOOKUP(Financeiros[[#This Row],[Tipo]],RefTabTipo[],2,FALSE),0)</f>
        <v>22</v>
      </c>
      <c r="I79" s="1645">
        <f>IFERROR(VLOOKUP(Financeiros[[#This Row],[Tipo]],RefTabTipo[],3,FALSE),0)</f>
        <v>60</v>
      </c>
      <c r="J79" s="1645">
        <f>IFERROR(VLOOKUP(Financeiros[[#This Row],[Tipo]],RefTabTipo[],4,FALSE),0)</f>
        <v>106</v>
      </c>
      <c r="K79" s="1651">
        <f>IFERROR(VLOOKUP(Financeiros[[#This Row],[Grupo Tarifário]],RefTabGrupoTarifa[],2,FALSE),0)</f>
        <v>2</v>
      </c>
      <c r="L79" s="1651">
        <f>IFERROR(VLOOKUP(Financeiros[[#This Row],[Grupo Tarifário]],RefTabGrupoTarifa[],3,FALSE),0)</f>
        <v>8</v>
      </c>
      <c r="M79" s="1651">
        <f>IFERROR(VLOOKUP(Financeiros[[#This Row],[Grupo Tarifário]],RefTabGrupoTarifa[],4,FALSE),0)</f>
        <v>9</v>
      </c>
    </row>
    <row r="80" spans="3:13" ht="16.5">
      <c r="C80" s="1672" t="s">
        <v>2315</v>
      </c>
      <c r="D80" s="1669">
        <f ca="1">IFERROR(CVE!$I$9*H5,0)</f>
        <v>-0.67949281945133488</v>
      </c>
      <c r="E80" s="1632">
        <f t="shared" ca="1" si="1"/>
        <v>-1.2835399146311667E-7</v>
      </c>
      <c r="F80" s="1639" t="s">
        <v>2240</v>
      </c>
      <c r="G80" s="1639" t="s">
        <v>2260</v>
      </c>
      <c r="H80" s="1651">
        <f>IFERROR(VLOOKUP(Financeiros[[#This Row],[Tipo]],RefTabTipo[],2,FALSE),0)</f>
        <v>22</v>
      </c>
      <c r="I80" s="1645">
        <f>IFERROR(VLOOKUP(Financeiros[[#This Row],[Tipo]],RefTabTipo[],3,FALSE),0)</f>
        <v>60</v>
      </c>
      <c r="J80" s="1645">
        <f>IFERROR(VLOOKUP(Financeiros[[#This Row],[Tipo]],RefTabTipo[],4,FALSE),0)</f>
        <v>106</v>
      </c>
      <c r="K80" s="1651">
        <f>IFERROR(VLOOKUP(Financeiros[[#This Row],[Grupo Tarifário]],RefTabGrupoTarifa[],2,FALSE),0)</f>
        <v>2</v>
      </c>
      <c r="L80" s="1651">
        <f>IFERROR(VLOOKUP(Financeiros[[#This Row],[Grupo Tarifário]],RefTabGrupoTarifa[],3,FALSE),0)</f>
        <v>10</v>
      </c>
      <c r="M80" s="1651">
        <f>IFERROR(VLOOKUP(Financeiros[[#This Row],[Grupo Tarifário]],RefTabGrupoTarifa[],4,FALSE),0)</f>
        <v>9</v>
      </c>
    </row>
    <row r="81" spans="3:13" ht="16.5">
      <c r="C81" s="1672" t="s">
        <v>2316</v>
      </c>
      <c r="D81" s="1669">
        <f ca="1">IFERROR(CVE!$I$9*H6,0)</f>
        <v>-5.0251917978680192</v>
      </c>
      <c r="E81" s="1632">
        <f t="shared" ca="1" si="1"/>
        <v>-9.4924244474708641E-7</v>
      </c>
      <c r="F81" s="1639" t="s">
        <v>2240</v>
      </c>
      <c r="G81" s="1639" t="s">
        <v>2261</v>
      </c>
      <c r="H81" s="1651">
        <f>IFERROR(VLOOKUP(Financeiros[[#This Row],[Tipo]],RefTabTipo[],2,FALSE),0)</f>
        <v>22</v>
      </c>
      <c r="I81" s="1645">
        <f>IFERROR(VLOOKUP(Financeiros[[#This Row],[Tipo]],RefTabTipo[],3,FALSE),0)</f>
        <v>60</v>
      </c>
      <c r="J81" s="1645">
        <f>IFERROR(VLOOKUP(Financeiros[[#This Row],[Tipo]],RefTabTipo[],4,FALSE),0)</f>
        <v>106</v>
      </c>
      <c r="K81" s="1651">
        <f>IFERROR(VLOOKUP(Financeiros[[#This Row],[Grupo Tarifário]],RefTabGrupoTarifa[],2,FALSE),0)</f>
        <v>2</v>
      </c>
      <c r="L81" s="1651">
        <f>IFERROR(VLOOKUP(Financeiros[[#This Row],[Grupo Tarifário]],RefTabGrupoTarifa[],3,FALSE),0)</f>
        <v>24</v>
      </c>
      <c r="M81" s="1651">
        <f>IFERROR(VLOOKUP(Financeiros[[#This Row],[Grupo Tarifário]],RefTabGrupoTarifa[],4,FALSE),0)</f>
        <v>9</v>
      </c>
    </row>
    <row r="82" spans="3:13" ht="16.5">
      <c r="C82" s="1673" t="s">
        <v>2293</v>
      </c>
      <c r="D82" s="1776">
        <f ca="1">IFERROR(CVE!$I$15*H2,0)</f>
        <v>-107712.94469255264</v>
      </c>
      <c r="E82" s="1633">
        <f t="shared" ca="1" si="1"/>
        <v>-2.0346626171412002E-2</v>
      </c>
      <c r="F82" s="1640" t="s">
        <v>1307</v>
      </c>
      <c r="G82" s="1640" t="s">
        <v>2257</v>
      </c>
      <c r="H82" s="1652">
        <f>IFERROR(VLOOKUP(Financeiros[[#This Row],[Tipo]],RefTabTipo[],2,FALSE),0)</f>
        <v>22</v>
      </c>
      <c r="I82" s="1646">
        <f>IFERROR(VLOOKUP(Financeiros[[#This Row],[Tipo]],RefTabTipo[],3,FALSE),0)</f>
        <v>62</v>
      </c>
      <c r="J82" s="1646">
        <f>IFERROR(VLOOKUP(Financeiros[[#This Row],[Tipo]],RefTabTipo[],4,FALSE),0)</f>
        <v>220</v>
      </c>
      <c r="K82" s="1652">
        <f>IFERROR(VLOOKUP(Financeiros[[#This Row],[Grupo Tarifário]],RefTabGrupoTarifa[],2,FALSE),0)</f>
        <v>2</v>
      </c>
      <c r="L82" s="1652">
        <f>IFERROR(VLOOKUP(Financeiros[[#This Row],[Grupo Tarifário]],RefTabGrupoTarifa[],3,FALSE),0)</f>
        <v>11</v>
      </c>
      <c r="M82" s="1652">
        <f>IFERROR(VLOOKUP(Financeiros[[#This Row],[Grupo Tarifário]],RefTabGrupoTarifa[],4,FALSE),0)</f>
        <v>9</v>
      </c>
    </row>
    <row r="83" spans="3:13" ht="16.5">
      <c r="C83" s="1673" t="s">
        <v>2294</v>
      </c>
      <c r="D83" s="1776">
        <f ca="1">IFERROR(CVE!$I$15*H3,0)</f>
        <v>0</v>
      </c>
      <c r="E83" s="1634">
        <f t="shared" ca="1" si="1"/>
        <v>0</v>
      </c>
      <c r="F83" s="1640" t="s">
        <v>1307</v>
      </c>
      <c r="G83" s="1640" t="s">
        <v>2259</v>
      </c>
      <c r="H83" s="1653">
        <f>IFERROR(VLOOKUP(Financeiros[[#This Row],[Tipo]],RefTabTipo[],2,FALSE),0)</f>
        <v>22</v>
      </c>
      <c r="I83" s="1647">
        <f>IFERROR(VLOOKUP(Financeiros[[#This Row],[Tipo]],RefTabTipo[],3,FALSE),0)</f>
        <v>62</v>
      </c>
      <c r="J83" s="1647">
        <f>IFERROR(VLOOKUP(Financeiros[[#This Row],[Tipo]],RefTabTipo[],4,FALSE),0)</f>
        <v>220</v>
      </c>
      <c r="K83" s="1653">
        <f>IFERROR(VLOOKUP(Financeiros[[#This Row],[Grupo Tarifário]],RefTabGrupoTarifa[],2,FALSE),0)</f>
        <v>2</v>
      </c>
      <c r="L83" s="1653">
        <f>IFERROR(VLOOKUP(Financeiros[[#This Row],[Grupo Tarifário]],RefTabGrupoTarifa[],3,FALSE),0)</f>
        <v>9</v>
      </c>
      <c r="M83" s="1653">
        <f>IFERROR(VLOOKUP(Financeiros[[#This Row],[Grupo Tarifário]],RefTabGrupoTarifa[],4,FALSE),0)</f>
        <v>9</v>
      </c>
    </row>
    <row r="84" spans="3:13" ht="16.5">
      <c r="C84" s="1673" t="s">
        <v>2295</v>
      </c>
      <c r="D84" s="1776">
        <f ca="1">IFERROR(CVE!$I$15*H4,0)</f>
        <v>-14564.652539550798</v>
      </c>
      <c r="E84" s="1634">
        <f t="shared" ca="1" si="1"/>
        <v>-2.7512156629326263E-3</v>
      </c>
      <c r="F84" s="1640" t="s">
        <v>1307</v>
      </c>
      <c r="G84" s="1640" t="s">
        <v>2262</v>
      </c>
      <c r="H84" s="1653">
        <f>IFERROR(VLOOKUP(Financeiros[[#This Row],[Tipo]],RefTabTipo[],2,FALSE),0)</f>
        <v>22</v>
      </c>
      <c r="I84" s="1647">
        <f>IFERROR(VLOOKUP(Financeiros[[#This Row],[Tipo]],RefTabTipo[],3,FALSE),0)</f>
        <v>62</v>
      </c>
      <c r="J84" s="1647">
        <f>IFERROR(VLOOKUP(Financeiros[[#This Row],[Tipo]],RefTabTipo[],4,FALSE),0)</f>
        <v>220</v>
      </c>
      <c r="K84" s="1653">
        <f>IFERROR(VLOOKUP(Financeiros[[#This Row],[Grupo Tarifário]],RefTabGrupoTarifa[],2,FALSE),0)</f>
        <v>2</v>
      </c>
      <c r="L84" s="1653">
        <f>IFERROR(VLOOKUP(Financeiros[[#This Row],[Grupo Tarifário]],RefTabGrupoTarifa[],3,FALSE),0)</f>
        <v>8</v>
      </c>
      <c r="M84" s="1653">
        <f>IFERROR(VLOOKUP(Financeiros[[#This Row],[Grupo Tarifário]],RefTabGrupoTarifa[],4,FALSE),0)</f>
        <v>9</v>
      </c>
    </row>
    <row r="85" spans="3:13" ht="16.5">
      <c r="C85" s="1673" t="s">
        <v>2296</v>
      </c>
      <c r="D85" s="1776">
        <f ca="1">IFERROR(CVE!$I$15*H5,0)</f>
        <v>-113.49550829388573</v>
      </c>
      <c r="E85" s="1634">
        <f t="shared" ca="1" si="1"/>
        <v>-2.1438933695308648E-5</v>
      </c>
      <c r="F85" s="1640" t="s">
        <v>1307</v>
      </c>
      <c r="G85" s="1640" t="s">
        <v>2260</v>
      </c>
      <c r="H85" s="1653">
        <f>IFERROR(VLOOKUP(Financeiros[[#This Row],[Tipo]],RefTabTipo[],2,FALSE),0)</f>
        <v>22</v>
      </c>
      <c r="I85" s="1647">
        <f>IFERROR(VLOOKUP(Financeiros[[#This Row],[Tipo]],RefTabTipo[],3,FALSE),0)</f>
        <v>62</v>
      </c>
      <c r="J85" s="1647">
        <f>IFERROR(VLOOKUP(Financeiros[[#This Row],[Tipo]],RefTabTipo[],4,FALSE),0)</f>
        <v>220</v>
      </c>
      <c r="K85" s="1653">
        <f>IFERROR(VLOOKUP(Financeiros[[#This Row],[Grupo Tarifário]],RefTabGrupoTarifa[],2,FALSE),0)</f>
        <v>2</v>
      </c>
      <c r="L85" s="1653">
        <f>IFERROR(VLOOKUP(Financeiros[[#This Row],[Grupo Tarifário]],RefTabGrupoTarifa[],3,FALSE),0)</f>
        <v>10</v>
      </c>
      <c r="M85" s="1653">
        <f>IFERROR(VLOOKUP(Financeiros[[#This Row],[Grupo Tarifário]],RefTabGrupoTarifa[],4,FALSE),0)</f>
        <v>9</v>
      </c>
    </row>
    <row r="86" spans="3:13" ht="16.5">
      <c r="C86" s="1673" t="s">
        <v>2297</v>
      </c>
      <c r="D86" s="1776">
        <f ca="1">IFERROR(CVE!$I$15*H6,0)</f>
        <v>-839.35647448610553</v>
      </c>
      <c r="E86" s="1634">
        <f t="shared" ca="1" si="1"/>
        <v>-1.5855171780577916E-4</v>
      </c>
      <c r="F86" s="1640" t="s">
        <v>1307</v>
      </c>
      <c r="G86" s="1640" t="s">
        <v>2261</v>
      </c>
      <c r="H86" s="1653">
        <f>IFERROR(VLOOKUP(Financeiros[[#This Row],[Tipo]],RefTabTipo[],2,FALSE),0)</f>
        <v>22</v>
      </c>
      <c r="I86" s="1647">
        <f>IFERROR(VLOOKUP(Financeiros[[#This Row],[Tipo]],RefTabTipo[],3,FALSE),0)</f>
        <v>62</v>
      </c>
      <c r="J86" s="1647">
        <f>IFERROR(VLOOKUP(Financeiros[[#This Row],[Tipo]],RefTabTipo[],4,FALSE),0)</f>
        <v>220</v>
      </c>
      <c r="K86" s="1653">
        <f>IFERROR(VLOOKUP(Financeiros[[#This Row],[Grupo Tarifário]],RefTabGrupoTarifa[],2,FALSE),0)</f>
        <v>2</v>
      </c>
      <c r="L86" s="1653">
        <f>IFERROR(VLOOKUP(Financeiros[[#This Row],[Grupo Tarifário]],RefTabGrupoTarifa[],3,FALSE),0)</f>
        <v>24</v>
      </c>
      <c r="M86" s="1653">
        <f>IFERROR(VLOOKUP(Financeiros[[#This Row],[Grupo Tarifário]],RefTabGrupoTarifa[],4,FALSE),0)</f>
        <v>9</v>
      </c>
    </row>
    <row r="87" spans="3:13" ht="16.5">
      <c r="C87" s="1681" t="s">
        <v>2298</v>
      </c>
      <c r="D87" s="1776">
        <f ca="1">IFERROR(Energia!$K$66*H2,0)</f>
        <v>129589.34399424128</v>
      </c>
      <c r="E87" s="1682">
        <f t="shared" ca="1" si="1"/>
        <v>2.4479007101470936E-2</v>
      </c>
      <c r="F87" s="1640" t="s">
        <v>2278</v>
      </c>
      <c r="G87" s="1640" t="s">
        <v>2257</v>
      </c>
      <c r="H87" s="1653">
        <f>IFERROR(VLOOKUP(Financeiros[[#This Row],[Tipo]],RefTabTipo[],2,FALSE),0)</f>
        <v>22</v>
      </c>
      <c r="I87" s="1647">
        <f>IFERROR(VLOOKUP(Financeiros[[#This Row],[Tipo]],RefTabTipo[],3,FALSE),0)</f>
        <v>60</v>
      </c>
      <c r="J87" s="1647">
        <f>IFERROR(VLOOKUP(Financeiros[[#This Row],[Tipo]],RefTabTipo[],4,FALSE),0)</f>
        <v>220</v>
      </c>
      <c r="K87" s="1653">
        <f>IFERROR(VLOOKUP(Financeiros[[#This Row],[Grupo Tarifário]],RefTabGrupoTarifa[],2,FALSE),0)</f>
        <v>2</v>
      </c>
      <c r="L87" s="1653">
        <f>IFERROR(VLOOKUP(Financeiros[[#This Row],[Grupo Tarifário]],RefTabGrupoTarifa[],3,FALSE),0)</f>
        <v>11</v>
      </c>
      <c r="M87" s="1653">
        <f>IFERROR(VLOOKUP(Financeiros[[#This Row],[Grupo Tarifário]],RefTabGrupoTarifa[],4,FALSE),0)</f>
        <v>9</v>
      </c>
    </row>
    <row r="88" spans="3:13" ht="16.5">
      <c r="C88" s="1681" t="s">
        <v>2299</v>
      </c>
      <c r="D88" s="1776">
        <f ca="1">IFERROR(Energia!$K$66*H3,0)</f>
        <v>0</v>
      </c>
      <c r="E88" s="1682">
        <f t="shared" ca="1" si="1"/>
        <v>0</v>
      </c>
      <c r="F88" s="1640" t="s">
        <v>2278</v>
      </c>
      <c r="G88" s="1640" t="s">
        <v>2259</v>
      </c>
      <c r="H88" s="1653">
        <f>IFERROR(VLOOKUP(Financeiros[[#This Row],[Tipo]],RefTabTipo[],2,FALSE),0)</f>
        <v>22</v>
      </c>
      <c r="I88" s="1647">
        <f>IFERROR(VLOOKUP(Financeiros[[#This Row],[Tipo]],RefTabTipo[],3,FALSE),0)</f>
        <v>60</v>
      </c>
      <c r="J88" s="1647">
        <f>IFERROR(VLOOKUP(Financeiros[[#This Row],[Tipo]],RefTabTipo[],4,FALSE),0)</f>
        <v>220</v>
      </c>
      <c r="K88" s="1653">
        <f>IFERROR(VLOOKUP(Financeiros[[#This Row],[Grupo Tarifário]],RefTabGrupoTarifa[],2,FALSE),0)</f>
        <v>2</v>
      </c>
      <c r="L88" s="1653">
        <f>IFERROR(VLOOKUP(Financeiros[[#This Row],[Grupo Tarifário]],RefTabGrupoTarifa[],3,FALSE),0)</f>
        <v>9</v>
      </c>
      <c r="M88" s="1653">
        <f>IFERROR(VLOOKUP(Financeiros[[#This Row],[Grupo Tarifário]],RefTabGrupoTarifa[],4,FALSE),0)</f>
        <v>9</v>
      </c>
    </row>
    <row r="89" spans="3:13" ht="16.5">
      <c r="C89" s="1681" t="s">
        <v>2300</v>
      </c>
      <c r="D89" s="1776">
        <f ca="1">IFERROR(Energia!$K$66*H4,0)</f>
        <v>17522.719980330705</v>
      </c>
      <c r="E89" s="1682">
        <f t="shared" ca="1" si="1"/>
        <v>3.3099850158564217E-3</v>
      </c>
      <c r="F89" s="1640" t="s">
        <v>2278</v>
      </c>
      <c r="G89" s="1640" t="s">
        <v>2262</v>
      </c>
      <c r="H89" s="1653">
        <f>IFERROR(VLOOKUP(Financeiros[[#This Row],[Tipo]],RefTabTipo[],2,FALSE),0)</f>
        <v>22</v>
      </c>
      <c r="I89" s="1647">
        <f>IFERROR(VLOOKUP(Financeiros[[#This Row],[Tipo]],RefTabTipo[],3,FALSE),0)</f>
        <v>60</v>
      </c>
      <c r="J89" s="1647">
        <f>IFERROR(VLOOKUP(Financeiros[[#This Row],[Tipo]],RefTabTipo[],4,FALSE),0)</f>
        <v>220</v>
      </c>
      <c r="K89" s="1653">
        <f>IFERROR(VLOOKUP(Financeiros[[#This Row],[Grupo Tarifário]],RefTabGrupoTarifa[],2,FALSE),0)</f>
        <v>2</v>
      </c>
      <c r="L89" s="1653">
        <f>IFERROR(VLOOKUP(Financeiros[[#This Row],[Grupo Tarifário]],RefTabGrupoTarifa[],3,FALSE),0)</f>
        <v>8</v>
      </c>
      <c r="M89" s="1653">
        <f>IFERROR(VLOOKUP(Financeiros[[#This Row],[Grupo Tarifário]],RefTabGrupoTarifa[],4,FALSE),0)</f>
        <v>9</v>
      </c>
    </row>
    <row r="90" spans="3:13" ht="16.5">
      <c r="C90" s="1681" t="s">
        <v>2301</v>
      </c>
      <c r="D90" s="1776">
        <f ca="1">IFERROR(Energia!$K$66*H5,0)</f>
        <v>136.5463409071067</v>
      </c>
      <c r="E90" s="1682">
        <f t="shared" ca="1" si="1"/>
        <v>2.5793161271759136E-5</v>
      </c>
      <c r="F90" s="1640" t="s">
        <v>2278</v>
      </c>
      <c r="G90" s="1640" t="s">
        <v>2260</v>
      </c>
      <c r="H90" s="1653">
        <f>IFERROR(VLOOKUP(Financeiros[[#This Row],[Tipo]],RefTabTipo[],2,FALSE),0)</f>
        <v>22</v>
      </c>
      <c r="I90" s="1647">
        <f>IFERROR(VLOOKUP(Financeiros[[#This Row],[Tipo]],RefTabTipo[],3,FALSE),0)</f>
        <v>60</v>
      </c>
      <c r="J90" s="1647">
        <f>IFERROR(VLOOKUP(Financeiros[[#This Row],[Tipo]],RefTabTipo[],4,FALSE),0)</f>
        <v>220</v>
      </c>
      <c r="K90" s="1653">
        <f>IFERROR(VLOOKUP(Financeiros[[#This Row],[Grupo Tarifário]],RefTabGrupoTarifa[],2,FALSE),0)</f>
        <v>2</v>
      </c>
      <c r="L90" s="1653">
        <f>IFERROR(VLOOKUP(Financeiros[[#This Row],[Grupo Tarifário]],RefTabGrupoTarifa[],3,FALSE),0)</f>
        <v>10</v>
      </c>
      <c r="M90" s="1653">
        <f>IFERROR(VLOOKUP(Financeiros[[#This Row],[Grupo Tarifário]],RefTabGrupoTarifa[],4,FALSE),0)</f>
        <v>9</v>
      </c>
    </row>
    <row r="91" spans="3:13" ht="16.5">
      <c r="C91" s="1681" t="s">
        <v>2302</v>
      </c>
      <c r="D91" s="1776">
        <f ca="1">IFERROR(Energia!$K$66*H6,0)</f>
        <v>1009.8289970294916</v>
      </c>
      <c r="E91" s="1682">
        <f t="shared" ca="1" si="1"/>
        <v>1.9075342483911866E-4</v>
      </c>
      <c r="F91" s="1640" t="s">
        <v>2278</v>
      </c>
      <c r="G91" s="1640" t="s">
        <v>2261</v>
      </c>
      <c r="H91" s="1653">
        <f>IFERROR(VLOOKUP(Financeiros[[#This Row],[Tipo]],RefTabTipo[],2,FALSE),0)</f>
        <v>22</v>
      </c>
      <c r="I91" s="1647">
        <f>IFERROR(VLOOKUP(Financeiros[[#This Row],[Tipo]],RefTabTipo[],3,FALSE),0)</f>
        <v>60</v>
      </c>
      <c r="J91" s="1647">
        <f>IFERROR(VLOOKUP(Financeiros[[#This Row],[Tipo]],RefTabTipo[],4,FALSE),0)</f>
        <v>220</v>
      </c>
      <c r="K91" s="1653">
        <f>IFERROR(VLOOKUP(Financeiros[[#This Row],[Grupo Tarifário]],RefTabGrupoTarifa[],2,FALSE),0)</f>
        <v>2</v>
      </c>
      <c r="L91" s="1653">
        <f>IFERROR(VLOOKUP(Financeiros[[#This Row],[Grupo Tarifário]],RefTabGrupoTarifa[],3,FALSE),0)</f>
        <v>24</v>
      </c>
      <c r="M91" s="1653">
        <f>IFERROR(VLOOKUP(Financeiros[[#This Row],[Grupo Tarifário]],RefTabGrupoTarifa[],4,FALSE),0)</f>
        <v>9</v>
      </c>
    </row>
    <row r="92" spans="3:13" ht="16.5">
      <c r="C92" s="1627" t="s">
        <v>2398</v>
      </c>
      <c r="D92" s="1454"/>
      <c r="E92" s="1629">
        <f t="shared" ca="1" si="1"/>
        <v>0</v>
      </c>
      <c r="F92" s="1675"/>
      <c r="G92" s="1675"/>
      <c r="H92" s="1677">
        <f>IFERROR(VLOOKUP(Financeiros[[#This Row],[Tipo]],RefTabTipo[],2,FALSE),0)</f>
        <v>0</v>
      </c>
      <c r="I92" s="1642">
        <f>IFERROR(VLOOKUP(Financeiros[[#This Row],[Tipo]],RefTabTipo[],3,FALSE),0)</f>
        <v>0</v>
      </c>
      <c r="J92" s="1642">
        <f>IFERROR(VLOOKUP(Financeiros[[#This Row],[Tipo]],RefTabTipo[],4,FALSE),0)</f>
        <v>0</v>
      </c>
      <c r="K92" s="1677">
        <f>IFERROR(VLOOKUP(Financeiros[[#This Row],[Grupo Tarifário]],RefTabGrupoTarifa[],2,FALSE),0)</f>
        <v>0</v>
      </c>
      <c r="L92" s="1677">
        <f>IFERROR(VLOOKUP(Financeiros[[#This Row],[Grupo Tarifário]],RefTabGrupoTarifa[],3,FALSE),0)</f>
        <v>0</v>
      </c>
      <c r="M92" s="1677">
        <f>IFERROR(VLOOKUP(Financeiros[[#This Row],[Grupo Tarifário]],RefTabGrupoTarifa[],4,FALSE),0)</f>
        <v>0</v>
      </c>
    </row>
    <row r="93" spans="3:13" ht="16.5">
      <c r="C93" s="1627" t="s">
        <v>2399</v>
      </c>
      <c r="D93" s="1454"/>
      <c r="E93" s="1629">
        <f t="shared" ca="1" si="1"/>
        <v>0</v>
      </c>
      <c r="F93" s="1675"/>
      <c r="G93" s="1675"/>
      <c r="H93" s="1677">
        <f>IFERROR(VLOOKUP(Financeiros[[#This Row],[Tipo]],RefTabTipo[],2,FALSE),0)</f>
        <v>0</v>
      </c>
      <c r="I93" s="1642">
        <f>IFERROR(VLOOKUP(Financeiros[[#This Row],[Tipo]],RefTabTipo[],3,FALSE),0)</f>
        <v>0</v>
      </c>
      <c r="J93" s="1642">
        <f>IFERROR(VLOOKUP(Financeiros[[#This Row],[Tipo]],RefTabTipo[],4,FALSE),0)</f>
        <v>0</v>
      </c>
      <c r="K93" s="1677">
        <f>IFERROR(VLOOKUP(Financeiros[[#This Row],[Grupo Tarifário]],RefTabGrupoTarifa[],2,FALSE),0)</f>
        <v>0</v>
      </c>
      <c r="L93" s="1677">
        <f>IFERROR(VLOOKUP(Financeiros[[#This Row],[Grupo Tarifário]],RefTabGrupoTarifa[],3,FALSE),0)</f>
        <v>0</v>
      </c>
      <c r="M93" s="1677">
        <f>IFERROR(VLOOKUP(Financeiros[[#This Row],[Grupo Tarifário]],RefTabGrupoTarifa[],4,FALSE),0)</f>
        <v>0</v>
      </c>
    </row>
    <row r="94" spans="3:13" ht="16.5">
      <c r="C94" s="1777" t="s">
        <v>2400</v>
      </c>
      <c r="D94" s="1454"/>
      <c r="E94" s="1629">
        <f t="shared" ca="1" si="1"/>
        <v>0</v>
      </c>
      <c r="F94" s="1675"/>
      <c r="G94" s="1684"/>
      <c r="H94" s="1677">
        <f>IFERROR(VLOOKUP(Financeiros[[#This Row],[Tipo]],RefTabTipo[],2,FALSE),0)</f>
        <v>0</v>
      </c>
      <c r="I94" s="1642">
        <f>IFERROR(VLOOKUP(Financeiros[[#This Row],[Tipo]],RefTabTipo[],3,FALSE),0)</f>
        <v>0</v>
      </c>
      <c r="J94" s="1642">
        <f>IFERROR(VLOOKUP(Financeiros[[#This Row],[Tipo]],RefTabTipo[],4,FALSE),0)</f>
        <v>0</v>
      </c>
      <c r="K94" s="1677">
        <f>IFERROR(VLOOKUP(Financeiros[[#This Row],[Grupo Tarifário]],RefTabGrupoTarifa[],2,FALSE),0)</f>
        <v>0</v>
      </c>
      <c r="L94" s="1677">
        <f>IFERROR(VLOOKUP(Financeiros[[#This Row],[Grupo Tarifário]],RefTabGrupoTarifa[],3,FALSE),0)</f>
        <v>0</v>
      </c>
      <c r="M94" s="1677">
        <f>IFERROR(VLOOKUP(Financeiros[[#This Row],[Grupo Tarifário]],RefTabGrupoTarifa[],4,FALSE),0)</f>
        <v>0</v>
      </c>
    </row>
    <row r="95" spans="3:13" ht="16.5">
      <c r="C95" s="1627" t="s">
        <v>2401</v>
      </c>
      <c r="D95" s="1454"/>
      <c r="E95" s="1629">
        <f t="shared" ca="1" si="1"/>
        <v>0</v>
      </c>
      <c r="F95" s="1675"/>
      <c r="G95" s="1675"/>
      <c r="H95" s="1677">
        <f>IFERROR(VLOOKUP(Financeiros[[#This Row],[Tipo]],RefTabTipo[],2,FALSE),0)</f>
        <v>0</v>
      </c>
      <c r="I95" s="1642">
        <f>IFERROR(VLOOKUP(Financeiros[[#This Row],[Tipo]],RefTabTipo[],3,FALSE),0)</f>
        <v>0</v>
      </c>
      <c r="J95" s="1642">
        <f>IFERROR(VLOOKUP(Financeiros[[#This Row],[Tipo]],RefTabTipo[],4,FALSE),0)</f>
        <v>0</v>
      </c>
      <c r="K95" s="1677">
        <f>IFERROR(VLOOKUP(Financeiros[[#This Row],[Grupo Tarifário]],RefTabGrupoTarifa[],2,FALSE),0)</f>
        <v>0</v>
      </c>
      <c r="L95" s="1677">
        <f>IFERROR(VLOOKUP(Financeiros[[#This Row],[Grupo Tarifário]],RefTabGrupoTarifa[],3,FALSE),0)</f>
        <v>0</v>
      </c>
      <c r="M95" s="1677">
        <f>IFERROR(VLOOKUP(Financeiros[[#This Row],[Grupo Tarifário]],RefTabGrupoTarifa[],4,FALSE),0)</f>
        <v>0</v>
      </c>
    </row>
    <row r="96" spans="3:13" ht="16.5">
      <c r="C96" s="1627" t="s">
        <v>2402</v>
      </c>
      <c r="D96" s="1454"/>
      <c r="E96" s="1629">
        <f t="shared" ca="1" si="1"/>
        <v>0</v>
      </c>
      <c r="F96" s="1675"/>
      <c r="G96" s="1675"/>
      <c r="H96" s="1677">
        <f>IFERROR(VLOOKUP(Financeiros[[#This Row],[Tipo]],RefTabTipo[],2,FALSE),0)</f>
        <v>0</v>
      </c>
      <c r="I96" s="1642">
        <f>IFERROR(VLOOKUP(Financeiros[[#This Row],[Tipo]],RefTabTipo[],3,FALSE),0)</f>
        <v>0</v>
      </c>
      <c r="J96" s="1642">
        <f>IFERROR(VLOOKUP(Financeiros[[#This Row],[Tipo]],RefTabTipo[],4,FALSE),0)</f>
        <v>0</v>
      </c>
      <c r="K96" s="1677">
        <f>IFERROR(VLOOKUP(Financeiros[[#This Row],[Grupo Tarifário]],RefTabGrupoTarifa[],2,FALSE),0)</f>
        <v>0</v>
      </c>
      <c r="L96" s="1677">
        <f>IFERROR(VLOOKUP(Financeiros[[#This Row],[Grupo Tarifário]],RefTabGrupoTarifa[],3,FALSE),0)</f>
        <v>0</v>
      </c>
      <c r="M96" s="1677">
        <f>IFERROR(VLOOKUP(Financeiros[[#This Row],[Grupo Tarifário]],RefTabGrupoTarifa[],4,FALSE),0)</f>
        <v>0</v>
      </c>
    </row>
    <row r="97" spans="3:13" ht="16.5">
      <c r="C97" s="1627" t="s">
        <v>2397</v>
      </c>
      <c r="D97" s="1454">
        <v>-300000</v>
      </c>
      <c r="E97" s="1629">
        <f t="shared" ca="1" si="1"/>
        <v>-5.6669027746352525E-2</v>
      </c>
      <c r="F97" s="1675" t="s">
        <v>2237</v>
      </c>
      <c r="G97" s="1675" t="s">
        <v>2269</v>
      </c>
      <c r="H97" s="1677">
        <f>IFERROR(VLOOKUP(Financeiros[[#This Row],[Tipo]],RefTabTipo[],2,FALSE),0)</f>
        <v>22</v>
      </c>
      <c r="I97" s="1642">
        <f>IFERROR(VLOOKUP(Financeiros[[#This Row],[Tipo]],RefTabTipo[],3,FALSE),0)</f>
        <v>60</v>
      </c>
      <c r="J97" s="1642">
        <f>IFERROR(VLOOKUP(Financeiros[[#This Row],[Tipo]],RefTabTipo[],4,FALSE),0)</f>
        <v>999</v>
      </c>
      <c r="K97" s="1677">
        <f>IFERROR(VLOOKUP(Financeiros[[#This Row],[Grupo Tarifário]],RefTabGrupoTarifa[],2,FALSE),0)</f>
        <v>1</v>
      </c>
      <c r="L97" s="1677">
        <f>IFERROR(VLOOKUP(Financeiros[[#This Row],[Grupo Tarifário]],RefTabGrupoTarifa[],3,FALSE),0)</f>
        <v>7</v>
      </c>
      <c r="M97" s="1677">
        <f>IFERROR(VLOOKUP(Financeiros[[#This Row],[Grupo Tarifário]],RefTabGrupoTarifa[],4,FALSE),0)</f>
        <v>9</v>
      </c>
    </row>
    <row r="98" spans="3:13" ht="16.5">
      <c r="C98" s="1627"/>
      <c r="D98" s="1454"/>
      <c r="E98" s="1629">
        <f t="shared" ca="1" si="1"/>
        <v>0</v>
      </c>
      <c r="F98" s="1675"/>
      <c r="G98" s="1675"/>
      <c r="H98" s="1677">
        <f>IFERROR(VLOOKUP(Financeiros[[#This Row],[Tipo]],RefTabTipo[],2,FALSE),0)</f>
        <v>0</v>
      </c>
      <c r="I98" s="1642">
        <f>IFERROR(VLOOKUP(Financeiros[[#This Row],[Tipo]],RefTabTipo[],3,FALSE),0)</f>
        <v>0</v>
      </c>
      <c r="J98" s="1642">
        <f>IFERROR(VLOOKUP(Financeiros[[#This Row],[Tipo]],RefTabTipo[],4,FALSE),0)</f>
        <v>0</v>
      </c>
      <c r="K98" s="1677">
        <f>IFERROR(VLOOKUP(Financeiros[[#This Row],[Grupo Tarifário]],RefTabGrupoTarifa[],2,FALSE),0)</f>
        <v>0</v>
      </c>
      <c r="L98" s="1677">
        <f>IFERROR(VLOOKUP(Financeiros[[#This Row],[Grupo Tarifário]],RefTabGrupoTarifa[],3,FALSE),0)</f>
        <v>0</v>
      </c>
      <c r="M98" s="1677">
        <f>IFERROR(VLOOKUP(Financeiros[[#This Row],[Grupo Tarifário]],RefTabGrupoTarifa[],4,FALSE),0)</f>
        <v>0</v>
      </c>
    </row>
    <row r="99" spans="3:13" ht="16.5">
      <c r="C99" s="1627"/>
      <c r="D99" s="1454"/>
      <c r="E99" s="1629">
        <f t="shared" ca="1" si="1"/>
        <v>0</v>
      </c>
      <c r="F99" s="1675"/>
      <c r="G99" s="1675"/>
      <c r="H99" s="1677">
        <f>IFERROR(VLOOKUP(Financeiros[[#This Row],[Tipo]],RefTabTipo[],2,FALSE),0)</f>
        <v>0</v>
      </c>
      <c r="I99" s="1642">
        <f>IFERROR(VLOOKUP(Financeiros[[#This Row],[Tipo]],RefTabTipo[],3,FALSE),0)</f>
        <v>0</v>
      </c>
      <c r="J99" s="1642">
        <f>IFERROR(VLOOKUP(Financeiros[[#This Row],[Tipo]],RefTabTipo[],4,FALSE),0)</f>
        <v>0</v>
      </c>
      <c r="K99" s="1677">
        <f>IFERROR(VLOOKUP(Financeiros[[#This Row],[Grupo Tarifário]],RefTabGrupoTarifa[],2,FALSE),0)</f>
        <v>0</v>
      </c>
      <c r="L99" s="1677">
        <f>IFERROR(VLOOKUP(Financeiros[[#This Row],[Grupo Tarifário]],RefTabGrupoTarifa[],3,FALSE),0)</f>
        <v>0</v>
      </c>
      <c r="M99" s="1677">
        <f>IFERROR(VLOOKUP(Financeiros[[#This Row],[Grupo Tarifário]],RefTabGrupoTarifa[],4,FALSE),0)</f>
        <v>0</v>
      </c>
    </row>
    <row r="100" spans="3:13" ht="16.5">
      <c r="C100" s="1627"/>
      <c r="D100" s="1454"/>
      <c r="E100" s="1629">
        <f t="shared" ca="1" si="1"/>
        <v>0</v>
      </c>
      <c r="F100" s="1675"/>
      <c r="G100" s="1675"/>
      <c r="H100" s="1677">
        <f>IFERROR(VLOOKUP(Financeiros[[#This Row],[Tipo]],RefTabTipo[],2,FALSE),0)</f>
        <v>0</v>
      </c>
      <c r="I100" s="1642">
        <f>IFERROR(VLOOKUP(Financeiros[[#This Row],[Tipo]],RefTabTipo[],3,FALSE),0)</f>
        <v>0</v>
      </c>
      <c r="J100" s="1642">
        <f>IFERROR(VLOOKUP(Financeiros[[#This Row],[Tipo]],RefTabTipo[],4,FALSE),0)</f>
        <v>0</v>
      </c>
      <c r="K100" s="1677">
        <f>IFERROR(VLOOKUP(Financeiros[[#This Row],[Grupo Tarifário]],RefTabGrupoTarifa[],2,FALSE),0)</f>
        <v>0</v>
      </c>
      <c r="L100" s="1677">
        <f>IFERROR(VLOOKUP(Financeiros[[#This Row],[Grupo Tarifário]],RefTabGrupoTarifa[],3,FALSE),0)</f>
        <v>0</v>
      </c>
      <c r="M100" s="1677">
        <f>IFERROR(VLOOKUP(Financeiros[[#This Row],[Grupo Tarifário]],RefTabGrupoTarifa[],4,FALSE),0)</f>
        <v>0</v>
      </c>
    </row>
  </sheetData>
  <phoneticPr fontId="112" type="noConversion"/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2" t="s">
        <v>2284</v>
      </c>
      <c r="B1" s="1228"/>
      <c r="C1" s="1228"/>
      <c r="D1" s="1228"/>
      <c r="E1" s="933"/>
      <c r="F1" s="933"/>
      <c r="G1" s="1131" t="s">
        <v>873</v>
      </c>
      <c r="H1" s="1132">
        <f ca="1">LnkTXTIRTEco</f>
        <v>0.1164</v>
      </c>
    </row>
    <row r="2" spans="1:8" ht="16.5">
      <c r="A2" s="136" t="str">
        <f>CAPA!C9</f>
        <v>Cersad</v>
      </c>
      <c r="B2" s="70"/>
      <c r="C2" s="70"/>
      <c r="D2" s="70"/>
      <c r="E2" s="70"/>
      <c r="F2" s="70"/>
      <c r="G2" s="120" t="s">
        <v>877</v>
      </c>
      <c r="H2" s="121">
        <f ca="1">LnkTXTIRTTotal</f>
        <v>-0.14729999999999999</v>
      </c>
    </row>
    <row r="7" spans="1:8">
      <c r="A7" s="1845" t="s">
        <v>2045</v>
      </c>
      <c r="B7" s="1845"/>
      <c r="C7" s="1845"/>
      <c r="D7" s="1845"/>
      <c r="E7" s="1845"/>
      <c r="F7" s="1845"/>
      <c r="G7" s="1845"/>
      <c r="H7" s="1845"/>
    </row>
    <row r="9" spans="1:8">
      <c r="A9" s="9" t="s">
        <v>2283</v>
      </c>
    </row>
    <row r="12" spans="1:8">
      <c r="A12" s="686" t="s">
        <v>192</v>
      </c>
      <c r="B12" s="296" t="s">
        <v>2040</v>
      </c>
    </row>
    <row r="13" spans="1:8">
      <c r="A13" s="686" t="s">
        <v>952</v>
      </c>
      <c r="B13" s="1731"/>
    </row>
    <row r="14" spans="1:8">
      <c r="A14" s="686" t="s">
        <v>971</v>
      </c>
      <c r="B14" s="1731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6" t="s">
        <v>769</v>
      </c>
      <c r="B17" s="1732">
        <f>B18+B19</f>
        <v>0</v>
      </c>
      <c r="C17" s="1732">
        <f>Indexador!R49</f>
        <v>0</v>
      </c>
      <c r="D17" s="1732">
        <f>C17*85%</f>
        <v>0</v>
      </c>
      <c r="E17" s="1732">
        <f>SUM(B17:D17)</f>
        <v>0</v>
      </c>
    </row>
    <row r="18" spans="1:8">
      <c r="A18" s="686" t="s">
        <v>952</v>
      </c>
      <c r="B18" s="1732">
        <f>Indexador!V49</f>
        <v>0</v>
      </c>
      <c r="C18" s="1732">
        <f>IFERROR($C$17*C41,0)</f>
        <v>0</v>
      </c>
      <c r="D18" s="1732">
        <f t="shared" ref="D18:D19" si="0">C18*85%</f>
        <v>0</v>
      </c>
      <c r="E18" s="1732">
        <f t="shared" ref="E18:E19" si="1">SUM(B18:D18)</f>
        <v>0</v>
      </c>
    </row>
    <row r="19" spans="1:8">
      <c r="A19" s="686" t="s">
        <v>971</v>
      </c>
      <c r="B19" s="1732">
        <f>Indexador!T49</f>
        <v>0</v>
      </c>
      <c r="C19" s="1732">
        <f>IFERROR($C$17*D41,0)</f>
        <v>0</v>
      </c>
      <c r="D19" s="1732">
        <f t="shared" si="0"/>
        <v>0</v>
      </c>
      <c r="E19" s="1732">
        <f t="shared" si="1"/>
        <v>0</v>
      </c>
    </row>
    <row r="24" spans="1:8">
      <c r="A24" s="1845" t="s">
        <v>2198</v>
      </c>
      <c r="B24" s="1845"/>
      <c r="C24" s="1845"/>
      <c r="D24" s="1845"/>
      <c r="E24" s="1845"/>
      <c r="F24" s="1845"/>
      <c r="G24" s="1845"/>
      <c r="H24" s="1845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71352.767970000001</v>
      </c>
      <c r="D28" s="232">
        <f>SUMIF(FaturasT!$I:$I,'Tributos suprimento'!$B28,FaturasT!AB:AB)</f>
        <v>193710.0802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64243.832800000004</v>
      </c>
      <c r="D29" s="232">
        <f>SUMIF(FaturasT!$I:$I,'Tributos suprimento'!$B29,FaturasT!AB:AB)</f>
        <v>179388.30575960001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58458.525244800003</v>
      </c>
      <c r="D30" s="232">
        <f>IF(SUMIF(FaturasT!$I:$I,'Tributos suprimento'!$B30,FaturasT!AB:AB)=0,D29,SUMIF(FaturasT!$I:$I,'Tributos suprimento'!$B30,FaturasT!AB:AB))</f>
        <v>278159.62033600005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48937.928739099996</v>
      </c>
      <c r="D31" s="232">
        <f>IF(SUMIF(FaturasT!$I:$I,'Tributos suprimento'!$B31,FaturasT!AB:AB)=0,D30,SUMIF(FaturasT!$I:$I,'Tributos suprimento'!$B31,FaturasT!AB:AB))</f>
        <v>279389.79278600006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54873.352429999999</v>
      </c>
      <c r="D32" s="232">
        <f>IF(SUMIF(FaturasT!$I:$I,'Tributos suprimento'!$B32,FaturasT!AB:AB)=0,D31,SUMIF(FaturasT!$I:$I,'Tributos suprimento'!$B32,FaturasT!AB:AB))</f>
        <v>247977.60479700004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53763.650869999998</v>
      </c>
      <c r="D33" s="232">
        <f>IF(SUMIF(FaturasT!$I:$I,'Tributos suprimento'!$B33,FaturasT!AB:AB)=0,D32,SUMIF(FaturasT!$I:$I,'Tributos suprimento'!$B33,FaturasT!AB:AB))</f>
        <v>2804.0349999999999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65479.740969999992</v>
      </c>
      <c r="D34" s="232">
        <f>IF(SUMIF(FaturasT!$I:$I,'Tributos suprimento'!$B34,FaturasT!AB:AB)=0,D33,SUMIF(FaturasT!$I:$I,'Tributos suprimento'!$B34,FaturasT!AB:AB))</f>
        <v>2804.0349999999999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57175.41231</v>
      </c>
      <c r="D35" s="232">
        <f>IF(SUMIF(FaturasT!$I:$I,'Tributos suprimento'!$B35,FaturasT!AB:AB)=0,D34,SUMIF(FaturasT!$I:$I,'Tributos suprimento'!$B35,FaturasT!AB:AB))</f>
        <v>2804.0349999999999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31922.218129999997</v>
      </c>
      <c r="D36" s="232">
        <f>IF(SUMIF(FaturasT!$I:$I,'Tributos suprimento'!$B36,FaturasT!AB:AB)=0,D35,SUMIF(FaturasT!$I:$I,'Tributos suprimento'!$B36,FaturasT!AB:AB))</f>
        <v>2804.0349999999999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34552.086610000006</v>
      </c>
      <c r="D37" s="232">
        <f>IF(SUMIF(FaturasT!$I:$I,'Tributos suprimento'!$B37,FaturasT!AB:AB)=0,D36,SUMIF(FaturasT!$I:$I,'Tributos suprimento'!$B37,FaturasT!AB:AB))</f>
        <v>2804.0349999999999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54149.793590000001</v>
      </c>
      <c r="D38" s="232">
        <f>IF(SUMIF(FaturasT!$I:$I,'Tributos suprimento'!$B38,FaturasT!AB:AB)=0,D37,SUMIF(FaturasT!$I:$I,'Tributos suprimento'!$B38,FaturasT!AB:AB))</f>
        <v>2804.0349999999999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55376.689259999992</v>
      </c>
      <c r="D39" s="232">
        <f>IF(SUMIF(FaturasT!$I:$I,'Tributos suprimento'!$B39,FaturasT!AB:AB)=0,D38,SUMIF(FaturasT!$I:$I,'Tributos suprimento'!$B39,FaturasT!AB:AB))</f>
        <v>2804.0349999999999</v>
      </c>
    </row>
    <row r="40" spans="2:8">
      <c r="B40" s="17" t="s">
        <v>769</v>
      </c>
      <c r="C40" s="749">
        <f>SUM(C28:C39)</f>
        <v>650285.99892390007</v>
      </c>
      <c r="D40" s="749">
        <f>SUM(D28:D39)</f>
        <v>1198253.6488785995</v>
      </c>
    </row>
    <row r="41" spans="2:8">
      <c r="B41" s="1729" t="s">
        <v>2196</v>
      </c>
      <c r="C41" s="1730">
        <f>C40/($C$40+$D$40)</f>
        <v>0.35178363617839886</v>
      </c>
      <c r="D41" s="1730">
        <f>D40/($C$40+$D$40)</f>
        <v>0.64821636382160119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8" customWidth="1"/>
    <col min="2" max="2" width="11.42578125" style="1528" bestFit="1" customWidth="1"/>
    <col min="3" max="3" width="19.28515625" style="1528" customWidth="1"/>
    <col min="4" max="4" width="17.7109375" style="1528" customWidth="1"/>
    <col min="5" max="5" width="13.7109375" style="1528" customWidth="1"/>
    <col min="6" max="8" width="14.7109375" style="1528" customWidth="1"/>
    <col min="9" max="9" width="16.42578125" style="1528" customWidth="1"/>
    <col min="10" max="10" width="19.5703125" style="1528" customWidth="1"/>
    <col min="11" max="18" width="15.7109375" style="1528" customWidth="1"/>
    <col min="19" max="40" width="9" style="1528" customWidth="1"/>
    <col min="41" max="16384" width="9.140625" style="1528"/>
  </cols>
  <sheetData>
    <row r="1" spans="2:24" ht="14.1" customHeight="1"/>
    <row r="2" spans="2:24" ht="14.1" customHeight="1"/>
    <row r="3" spans="2:24" ht="42" customHeight="1">
      <c r="B3" s="1529" t="s">
        <v>2134</v>
      </c>
      <c r="C3" s="1530"/>
      <c r="D3" s="1531" t="s">
        <v>2135</v>
      </c>
      <c r="E3" s="1532" t="s">
        <v>2136</v>
      </c>
      <c r="F3" s="1530"/>
      <c r="G3" s="1531" t="s">
        <v>2137</v>
      </c>
      <c r="H3" s="1531" t="s">
        <v>2138</v>
      </c>
      <c r="I3" s="1531" t="s">
        <v>2139</v>
      </c>
      <c r="J3" s="1531" t="s">
        <v>2140</v>
      </c>
      <c r="K3" s="1531" t="s">
        <v>2141</v>
      </c>
      <c r="L3" s="1531" t="s">
        <v>2142</v>
      </c>
      <c r="M3" s="1531" t="s">
        <v>2143</v>
      </c>
      <c r="N3" s="1531" t="s">
        <v>2144</v>
      </c>
      <c r="O3" s="1531" t="s">
        <v>2145</v>
      </c>
      <c r="P3" s="1531" t="s">
        <v>2146</v>
      </c>
      <c r="Q3" s="1531" t="s">
        <v>2147</v>
      </c>
      <c r="R3" s="1533" t="s">
        <v>2148</v>
      </c>
    </row>
    <row r="4" spans="2:24" ht="14.1" customHeight="1">
      <c r="B4" s="1534" t="s">
        <v>2149</v>
      </c>
      <c r="C4" s="1534"/>
      <c r="D4" s="1534"/>
      <c r="E4" s="1535" t="s">
        <v>114</v>
      </c>
      <c r="F4" s="1536"/>
      <c r="G4" s="1534">
        <v>0</v>
      </c>
      <c r="H4" s="1537">
        <f>D4+G4</f>
        <v>0</v>
      </c>
      <c r="I4" s="1538">
        <f>+D6</f>
        <v>0</v>
      </c>
      <c r="J4" s="1538">
        <f>+F27</f>
        <v>0</v>
      </c>
      <c r="K4" s="1539"/>
      <c r="L4" s="1540">
        <f>K4*VLOOKUP(SAS_RA0_DataFim,Índices!$B$6:$F$50000,5,0)/VLOOKUP(DATE(YEAR(SAS_RA0_DataFim)-2,MONTH(CAPA!C15),1),Índices!$B$6:$F$50000,5,0)</f>
        <v>0</v>
      </c>
      <c r="M4" s="1534"/>
      <c r="N4" s="1538">
        <f>M4*VLOOKUP(SAS_RA0_DataFim,Índices!$B$6:$F$50000,5,0)/VLOOKUP(DATE(YEAR(SAS_RA0_DataFim)-1,MONTH(SAS_RA0_DataFim),1),Índices!$B$6:$F$50000,5,0)</f>
        <v>0</v>
      </c>
      <c r="O4" s="1538">
        <f>G27</f>
        <v>0</v>
      </c>
      <c r="P4" s="1538">
        <f>J4+L4+N4-O4</f>
        <v>0</v>
      </c>
      <c r="Q4" s="1538">
        <f>IF(I4*12&gt;(D4+K4+M4-P4),D4+K4+M4-P4,I4*12)</f>
        <v>0</v>
      </c>
      <c r="R4" s="1541">
        <f>P4+Q4</f>
        <v>0</v>
      </c>
    </row>
    <row r="5" spans="2:24" ht="14.1" customHeight="1"/>
    <row r="6" spans="2:24" ht="14.1" customHeight="1">
      <c r="B6" s="1542" t="s">
        <v>2150</v>
      </c>
      <c r="C6" s="1543"/>
      <c r="D6" s="1544"/>
      <c r="N6" s="1545"/>
    </row>
    <row r="7" spans="2:24" ht="14.1" customHeight="1"/>
    <row r="8" spans="2:24" ht="42" customHeight="1">
      <c r="B8" s="1529" t="s">
        <v>34</v>
      </c>
      <c r="C8" s="1531" t="s">
        <v>2151</v>
      </c>
      <c r="D8" s="1531" t="s">
        <v>2152</v>
      </c>
      <c r="E8" s="1531" t="s">
        <v>2153</v>
      </c>
      <c r="F8" s="1531" t="s">
        <v>2154</v>
      </c>
      <c r="G8" s="1531" t="s">
        <v>2155</v>
      </c>
      <c r="H8" s="1531" t="s">
        <v>2156</v>
      </c>
    </row>
    <row r="9" spans="2:24" ht="14.1" customHeight="1">
      <c r="B9" s="1546">
        <v>44197</v>
      </c>
      <c r="C9" s="1547"/>
      <c r="D9" s="1548"/>
      <c r="E9" s="1549"/>
      <c r="F9" s="1550">
        <f>C9*VLOOKUP(SAS_RA0_DataFim,Índices!$B$6:$F$50000,5,0)/VLOOKUP(DATE(YEAR($B9),MONTH($B9)-1,1),Índices!$B$6:$F$50000,5,0)</f>
        <v>0</v>
      </c>
      <c r="G9" s="1550">
        <f>D9*VLOOKUP(SAS_RA0_DataFim,Índices!$B$6:$F$50000,5,0)/VLOOKUP(DATE(YEAR($B9),MONTH($B9)-1,1),Índices!$B$6:$F$50000,5,0)</f>
        <v>0</v>
      </c>
      <c r="H9" s="1550">
        <f>E9*VLOOKUP(SAS_RA0_DataFim,Índices!$B$6:$F$50000,5,0)/VLOOKUP(DATE(YEAR($B9),MONTH($B9)-1,1),Índices!$B$6:$F$50000,5,0)</f>
        <v>0</v>
      </c>
    </row>
    <row r="10" spans="2:24" ht="14.1" customHeight="1">
      <c r="B10" s="1546">
        <v>44228</v>
      </c>
      <c r="C10" s="1551"/>
      <c r="D10" s="1548"/>
      <c r="E10" s="1552"/>
      <c r="F10" s="1553">
        <f>C10*VLOOKUP(SAS_RA0_DataFim,Índices!$B$6:$F$50000,5,0)/VLOOKUP(DATE(YEAR($B10),MONTH($B10)-1,1),Índices!$B$6:$F$50000,5,0)</f>
        <v>0</v>
      </c>
      <c r="G10" s="1553">
        <f>D10*VLOOKUP(SAS_RA0_DataFim,Índices!$B$6:$F$50000,5,0)/VLOOKUP(DATE(YEAR($B10),MONTH($B10)-1,1),Índices!$B$6:$F$50000,5,0)</f>
        <v>0</v>
      </c>
      <c r="H10" s="1553">
        <f>E10*VLOOKUP(SAS_RA0_DataFim,Índices!$B$6:$F$50000,5,0)/VLOOKUP(DATE(YEAR($B10),MONTH($B10)-1,1),Índices!$B$6:$F$50000,5,0)</f>
        <v>0</v>
      </c>
      <c r="X10" s="1554"/>
    </row>
    <row r="11" spans="2:24" ht="14.1" customHeight="1">
      <c r="B11" s="1546">
        <v>44256</v>
      </c>
      <c r="C11" s="1551"/>
      <c r="D11" s="1548"/>
      <c r="E11" s="1552"/>
      <c r="F11" s="1553">
        <f>C11*VLOOKUP(SAS_RA0_DataFim,Índices!$B$6:$F$50000,5,0)/VLOOKUP(DATE(YEAR($B11),MONTH($B11)-1,1),Índices!$B$6:$F$50000,5,0)</f>
        <v>0</v>
      </c>
      <c r="G11" s="1553">
        <f>D11*VLOOKUP(SAS_RA0_DataFim,Índices!$B$6:$F$50000,5,0)/VLOOKUP(DATE(YEAR($B11),MONTH($B11)-1,1),Índices!$B$6:$F$50000,5,0)</f>
        <v>0</v>
      </c>
      <c r="H11" s="1553">
        <f>E11*VLOOKUP(SAS_RA0_DataFim,Índices!$B$6:$F$50000,5,0)/VLOOKUP(DATE(YEAR($B11),MONTH($B11)-1,1),Índices!$B$6:$F$50000,5,0)</f>
        <v>0</v>
      </c>
    </row>
    <row r="12" spans="2:24" ht="14.1" customHeight="1">
      <c r="B12" s="1546">
        <v>44287</v>
      </c>
      <c r="C12" s="1551"/>
      <c r="D12" s="1548"/>
      <c r="E12" s="1552"/>
      <c r="F12" s="1553">
        <f>C12*VLOOKUP(SAS_RA0_DataFim,Índices!$B$6:$F$50000,5,0)/VLOOKUP(DATE(YEAR($B12),MONTH($B12)-1,1),Índices!$B$6:$F$50000,5,0)</f>
        <v>0</v>
      </c>
      <c r="G12" s="1553">
        <f>D12*VLOOKUP(SAS_RA0_DataFim,Índices!$B$6:$F$50000,5,0)/VLOOKUP(DATE(YEAR($B12),MONTH($B12)-1,1),Índices!$B$6:$F$50000,5,0)</f>
        <v>0</v>
      </c>
      <c r="H12" s="1553">
        <f>E12*VLOOKUP(SAS_RA0_DataFim,Índices!$B$6:$F$50000,5,0)/VLOOKUP(DATE(YEAR($B12),MONTH($B12)-1,1),Índices!$B$6:$F$50000,5,0)</f>
        <v>0</v>
      </c>
    </row>
    <row r="13" spans="2:24" ht="14.1" customHeight="1">
      <c r="B13" s="1546">
        <v>44317</v>
      </c>
      <c r="C13" s="1552"/>
      <c r="D13" s="1555"/>
      <c r="E13" s="1552"/>
      <c r="F13" s="1553">
        <f>C13*VLOOKUP(SAS_RA0_DataFim,Índices!$B$6:$F$50000,5,0)/VLOOKUP(DATE(YEAR($B13),MONTH($B13)-1,1),Índices!$B$6:$F$50000,5,0)</f>
        <v>0</v>
      </c>
      <c r="G13" s="1553">
        <f>D13*VLOOKUP(SAS_RA0_DataFim,Índices!$B$6:$F$50000,5,0)/VLOOKUP(DATE(YEAR($B13),MONTH($B13)-1,1),Índices!$B$6:$F$50000,5,0)</f>
        <v>0</v>
      </c>
      <c r="H13" s="1553">
        <f>E13*VLOOKUP(SAS_RA0_DataFim,Índices!$B$6:$F$50000,5,0)/VLOOKUP(DATE(YEAR($B13),MONTH($B13)-1,1),Índices!$B$6:$F$50000,5,0)</f>
        <v>0</v>
      </c>
    </row>
    <row r="14" spans="2:24" ht="14.1" customHeight="1">
      <c r="B14" s="1546">
        <v>44348</v>
      </c>
      <c r="C14" s="1556"/>
      <c r="D14" s="1555"/>
      <c r="E14" s="1552"/>
      <c r="F14" s="1553">
        <f>C14*VLOOKUP(SAS_RA0_DataFim,Índices!$B$6:$F$50000,5,0)/VLOOKUP(DATE(YEAR($B14),MONTH($B14)-1,1),Índices!$B$6:$F$50000,5,0)</f>
        <v>0</v>
      </c>
      <c r="G14" s="1553">
        <f>D14*VLOOKUP(SAS_RA0_DataFim,Índices!$B$6:$F$50000,5,0)/VLOOKUP(DATE(YEAR($B14),MONTH($B14)-1,1),Índices!$B$6:$F$50000,5,0)</f>
        <v>0</v>
      </c>
      <c r="H14" s="1553">
        <f>E14*VLOOKUP(SAS_RA0_DataFim,Índices!$B$6:$F$50000,5,0)/VLOOKUP(DATE(YEAR($B14),MONTH($B14)-1,1),Índices!$B$6:$F$50000,5,0)</f>
        <v>0</v>
      </c>
    </row>
    <row r="15" spans="2:24" ht="14.1" customHeight="1">
      <c r="B15" s="1546">
        <v>44378</v>
      </c>
      <c r="C15" s="1556"/>
      <c r="D15" s="1555"/>
      <c r="E15" s="1552"/>
      <c r="F15" s="1553">
        <f>C15*VLOOKUP(SAS_RA0_DataFim,Índices!$B$6:$F$50000,5,0)/VLOOKUP(DATE(YEAR($B15),MONTH($B15)-1,1),Índices!$B$6:$F$50000,5,0)</f>
        <v>0</v>
      </c>
      <c r="G15" s="1553">
        <f>D15*VLOOKUP(SAS_RA0_DataFim,Índices!$B$6:$F$50000,5,0)/VLOOKUP(DATE(YEAR($B15),MONTH($B15)-1,1),Índices!$B$6:$F$50000,5,0)</f>
        <v>0</v>
      </c>
      <c r="H15" s="1553">
        <f>E15*VLOOKUP(SAS_RA0_DataFim,Índices!$B$6:$F$50000,5,0)/VLOOKUP(DATE(YEAR($B15),MONTH($B15)-1,1),Índices!$B$6:$F$50000,5,0)</f>
        <v>0</v>
      </c>
    </row>
    <row r="16" spans="2:24" ht="14.1" customHeight="1">
      <c r="B16" s="1546">
        <v>44409</v>
      </c>
      <c r="C16" s="1556"/>
      <c r="D16" s="1555"/>
      <c r="E16" s="1552"/>
      <c r="F16" s="1553">
        <f>C16*VLOOKUP(SAS_RA0_DataFim,Índices!$B$6:$F$50000,5,0)/VLOOKUP(DATE(YEAR($B16),MONTH($B16)-1,1),Índices!$B$6:$F$50000,5,0)</f>
        <v>0</v>
      </c>
      <c r="G16" s="1553">
        <f>D16*VLOOKUP(SAS_RA0_DataFim,Índices!$B$6:$F$50000,5,0)/VLOOKUP(DATE(YEAR($B16),MONTH($B16)-1,1),Índices!$B$6:$F$50000,5,0)</f>
        <v>0</v>
      </c>
      <c r="H16" s="1553">
        <f>E16*VLOOKUP(SAS_RA0_DataFim,Índices!$B$6:$F$50000,5,0)/VLOOKUP(DATE(YEAR($B16),MONTH($B16)-1,1),Índices!$B$6:$F$50000,5,0)</f>
        <v>0</v>
      </c>
    </row>
    <row r="17" spans="2:8" ht="14.1" customHeight="1">
      <c r="B17" s="1546">
        <v>44440</v>
      </c>
      <c r="C17" s="1556"/>
      <c r="D17" s="1555"/>
      <c r="E17" s="1552"/>
      <c r="F17" s="1553">
        <f>C17*VLOOKUP(SAS_RA0_DataFim,Índices!$B$6:$F$50000,5,0)/VLOOKUP(DATE(YEAR($B17),MONTH($B17)-1,1),Índices!$B$6:$F$50000,5,0)</f>
        <v>0</v>
      </c>
      <c r="G17" s="1553">
        <f>D17*VLOOKUP(SAS_RA0_DataFim,Índices!$B$6:$F$50000,5,0)/VLOOKUP(DATE(YEAR($B17),MONTH($B17)-1,1),Índices!$B$6:$F$50000,5,0)</f>
        <v>0</v>
      </c>
      <c r="H17" s="1553">
        <f>E17*VLOOKUP(SAS_RA0_DataFim,Índices!$B$6:$F$50000,5,0)/VLOOKUP(DATE(YEAR($B17),MONTH($B17)-1,1),Índices!$B$6:$F$50000,5,0)</f>
        <v>0</v>
      </c>
    </row>
    <row r="18" spans="2:8" ht="14.1" customHeight="1">
      <c r="B18" s="1546">
        <v>44470</v>
      </c>
      <c r="C18" s="1556"/>
      <c r="D18" s="1555"/>
      <c r="E18" s="1552"/>
      <c r="F18" s="1553">
        <f>C18*VLOOKUP(SAS_RA0_DataFim,Índices!$B$6:$F$50000,5,0)/VLOOKUP(DATE(YEAR($B18),MONTH($B18)-1,1),Índices!$B$6:$F$50000,5,0)</f>
        <v>0</v>
      </c>
      <c r="G18" s="1553">
        <f>D18*VLOOKUP(SAS_RA0_DataFim,Índices!$B$6:$F$50000,5,0)/VLOOKUP(DATE(YEAR($B18),MONTH($B18)-1,1),Índices!$B$6:$F$50000,5,0)</f>
        <v>0</v>
      </c>
      <c r="H18" s="1553">
        <f>E18*VLOOKUP(SAS_RA0_DataFim,Índices!$B$6:$F$50000,5,0)/VLOOKUP(DATE(YEAR($B18),MONTH($B18)-1,1),Índices!$B$6:$F$50000,5,0)</f>
        <v>0</v>
      </c>
    </row>
    <row r="19" spans="2:8" ht="14.1" customHeight="1">
      <c r="B19" s="1546">
        <v>44501</v>
      </c>
      <c r="C19" s="1556"/>
      <c r="D19" s="1555"/>
      <c r="E19" s="1552"/>
      <c r="F19" s="1553">
        <f>C19*VLOOKUP(SAS_RA0_DataFim,Índices!$B$6:$F$50000,5,0)/VLOOKUP(DATE(YEAR($B19),MONTH($B19)-1,1),Índices!$B$6:$F$50000,5,0)</f>
        <v>0</v>
      </c>
      <c r="G19" s="1553">
        <f>D19*VLOOKUP(SAS_RA0_DataFim,Índices!$B$6:$F$50000,5,0)/VLOOKUP(DATE(YEAR($B19),MONTH($B19)-1,1),Índices!$B$6:$F$50000,5,0)</f>
        <v>0</v>
      </c>
      <c r="H19" s="1553">
        <f>E19*VLOOKUP(SAS_RA0_DataFim,Índices!$B$6:$F$50000,5,0)/VLOOKUP(DATE(YEAR($B19),MONTH($B19)-1,1),Índices!$B$6:$F$50000,5,0)</f>
        <v>0</v>
      </c>
    </row>
    <row r="20" spans="2:8" ht="14.1" customHeight="1">
      <c r="B20" s="1546">
        <v>44531</v>
      </c>
      <c r="C20" s="1556"/>
      <c r="D20" s="1555"/>
      <c r="E20" s="1552"/>
      <c r="F20" s="1553">
        <f>C20*VLOOKUP(SAS_RA0_DataFim,Índices!$B$6:$F$50000,5,0)/VLOOKUP(DATE(YEAR($B20),MONTH($B20)-1,1),Índices!$B$6:$F$50000,5,0)</f>
        <v>0</v>
      </c>
      <c r="G20" s="1553">
        <f>D20*VLOOKUP(SAS_RA0_DataFim,Índices!$B$6:$F$50000,5,0)/VLOOKUP(DATE(YEAR($B20),MONTH($B20)-1,1),Índices!$B$6:$F$50000,5,0)</f>
        <v>0</v>
      </c>
      <c r="H20" s="1553">
        <f>E20*VLOOKUP(SAS_RA0_DataFim,Índices!$B$6:$F$50000,5,0)/VLOOKUP(DATE(YEAR($B20),MONTH($B20)-1,1),Índices!$B$6:$F$50000,5,0)</f>
        <v>0</v>
      </c>
    </row>
    <row r="21" spans="2:8" ht="14.1" customHeight="1">
      <c r="B21" s="1546">
        <v>44562</v>
      </c>
      <c r="C21" s="1556"/>
      <c r="D21" s="1555"/>
      <c r="E21" s="1552"/>
      <c r="F21" s="1553">
        <f>C21*VLOOKUP(SAS_RA0_DataFim,Índices!$B$6:$F$50000,5,0)/VLOOKUP(DATE(YEAR($B21),MONTH($B21)-1,1),Índices!$B$6:$F$50000,5,0)</f>
        <v>0</v>
      </c>
      <c r="G21" s="1553">
        <f>D21*VLOOKUP(SAS_RA0_DataFim,Índices!$B$6:$F$50000,5,0)/VLOOKUP(DATE(YEAR($B21),MONTH($B21)-1,1),Índices!$B$6:$F$50000,5,0)</f>
        <v>0</v>
      </c>
      <c r="H21" s="1553">
        <f>E21*VLOOKUP(SAS_RA0_DataFim,Índices!$B$6:$F$50000,5,0)/VLOOKUP(DATE(YEAR($B21),MONTH($B21)-1,1),Índices!$B$6:$F$50000,5,0)</f>
        <v>0</v>
      </c>
    </row>
    <row r="22" spans="2:8" ht="14.1" customHeight="1">
      <c r="B22" s="1546">
        <v>44593</v>
      </c>
      <c r="C22" s="1556"/>
      <c r="D22" s="1555"/>
      <c r="E22" s="1552"/>
      <c r="F22" s="1553">
        <f>C22*VLOOKUP(SAS_RA0_DataFim,Índices!$B$6:$F$50000,5,0)/VLOOKUP(DATE(YEAR($B22),MONTH($B22)-1,1),Índices!$B$6:$F$50000,5,0)</f>
        <v>0</v>
      </c>
      <c r="G22" s="1553">
        <f>D22*VLOOKUP(SAS_RA0_DataFim,Índices!$B$6:$F$50000,5,0)/VLOOKUP(DATE(YEAR($B22),MONTH($B22)-1,1),Índices!$B$6:$F$50000,5,0)</f>
        <v>0</v>
      </c>
      <c r="H22" s="1553">
        <f>E22*VLOOKUP(SAS_RA0_DataFim,Índices!$B$6:$F$50000,5,0)/VLOOKUP(DATE(YEAR($B22),MONTH($B22)-1,1),Índices!$B$6:$F$50000,5,0)</f>
        <v>0</v>
      </c>
    </row>
    <row r="23" spans="2:8" ht="14.1" customHeight="1">
      <c r="B23" s="1546">
        <v>44621</v>
      </c>
      <c r="C23" s="1556"/>
      <c r="D23" s="1555"/>
      <c r="E23" s="1552"/>
      <c r="F23" s="1553">
        <f>C23*VLOOKUP(SAS_RA0_DataFim,Índices!$B$6:$F$50000,5,0)/VLOOKUP(DATE(YEAR($B23),MONTH($B23)-1,1),Índices!$B$6:$F$50000,5,0)</f>
        <v>0</v>
      </c>
      <c r="G23" s="1553">
        <f>D23*VLOOKUP(SAS_RA0_DataFim,Índices!$B$6:$F$50000,5,0)/VLOOKUP(DATE(YEAR($B23),MONTH($B23)-1,1),Índices!$B$6:$F$50000,5,0)</f>
        <v>0</v>
      </c>
      <c r="H23" s="1553">
        <f>E23*VLOOKUP(SAS_RA0_DataFim,Índices!$B$6:$F$50000,5,0)/VLOOKUP(DATE(YEAR($B23),MONTH($B23)-1,1),Índices!$B$6:$F$50000,5,0)</f>
        <v>0</v>
      </c>
    </row>
    <row r="24" spans="2:8" ht="14.1" customHeight="1">
      <c r="B24" s="1546">
        <v>44652</v>
      </c>
      <c r="C24" s="1556"/>
      <c r="D24" s="1555"/>
      <c r="E24" s="1552"/>
      <c r="F24" s="1553">
        <f>C24*VLOOKUP(SAS_RA0_DataFim,Índices!$B$6:$F$50000,5,0)/VLOOKUP(DATE(YEAR($B24),MONTH($B24)-1,1),Índices!$B$6:$F$50000,5,0)</f>
        <v>0</v>
      </c>
      <c r="G24" s="1553">
        <f>D24*VLOOKUP(SAS_RA0_DataFim,Índices!$B$6:$F$50000,5,0)/VLOOKUP(DATE(YEAR($B24),MONTH($B24)-1,1),Índices!$B$6:$F$50000,5,0)</f>
        <v>0</v>
      </c>
      <c r="H24" s="1553">
        <f>E24*VLOOKUP(SAS_RA0_DataFim,Índices!$B$6:$F$50000,5,0)/VLOOKUP(DATE(YEAR($B24),MONTH($B24)-1,1),Índices!$B$6:$F$50000,5,0)</f>
        <v>0</v>
      </c>
    </row>
    <row r="25" spans="2:8" ht="14.1" customHeight="1">
      <c r="B25" s="1546">
        <v>44682</v>
      </c>
      <c r="C25" s="1556"/>
      <c r="D25" s="1555"/>
      <c r="E25" s="1552"/>
      <c r="F25" s="1553">
        <f>C25*VLOOKUP(SAS_RA0_DataFim,Índices!$B$6:$F$50000,5,0)/VLOOKUP(DATE(YEAR($B25),MONTH($B25)-1,1),Índices!$B$6:$F$50000,5,0)</f>
        <v>0</v>
      </c>
      <c r="G25" s="1553">
        <f>D25*VLOOKUP(SAS_RA0_DataFim,Índices!$B$6:$F$50000,5,0)/VLOOKUP(DATE(YEAR($B25),MONTH($B25)-1,1),Índices!$B$6:$F$50000,5,0)</f>
        <v>0</v>
      </c>
      <c r="H25" s="1553">
        <f>E25*VLOOKUP(SAS_RA0_DataFim,Índices!$B$6:$F$50000,5,0)/VLOOKUP(DATE(YEAR($B25),MONTH($B25)-1,1),Índices!$B$6:$F$50000,5,0)</f>
        <v>0</v>
      </c>
    </row>
    <row r="26" spans="2:8" ht="14.1" customHeight="1">
      <c r="B26" s="1546">
        <v>44713</v>
      </c>
      <c r="C26" s="1556"/>
      <c r="D26" s="1555"/>
      <c r="E26" s="1552"/>
      <c r="F26" s="1553">
        <f>C26*VLOOKUP(SAS_RA0_DataFim,Índices!$B$6:$F$50000,5,0)/VLOOKUP(DATE(YEAR($B26),MONTH($B26)-1,1),Índices!$B$6:$F$50000,5,0)</f>
        <v>0</v>
      </c>
      <c r="G26" s="1553">
        <f>D26*VLOOKUP(SAS_RA0_DataFim,Índices!$B$6:$F$50000,5,0)/VLOOKUP(DATE(YEAR($B26),MONTH($B26)-1,1),Índices!$B$6:$F$50000,5,0)</f>
        <v>0</v>
      </c>
      <c r="H26" s="1553">
        <f>E26*VLOOKUP(SAS_RA0_DataFim,Índices!$B$6:$F$50000,5,0)/VLOOKUP(DATE(YEAR($B26),MONTH($B26)-1,1),Índices!$B$6:$F$50000,5,0)</f>
        <v>0</v>
      </c>
    </row>
    <row r="27" spans="2:8" ht="14.1" customHeight="1">
      <c r="B27" s="1557" t="s">
        <v>760</v>
      </c>
      <c r="C27" s="1558">
        <f>SUM(C9:C26)</f>
        <v>0</v>
      </c>
      <c r="D27" s="1558">
        <f t="shared" ref="D27:E27" si="0">SUM(D9:D26)</f>
        <v>0</v>
      </c>
      <c r="E27" s="1558">
        <f t="shared" si="0"/>
        <v>0</v>
      </c>
      <c r="F27" s="1558">
        <f>SUM(F9:F26)</f>
        <v>0</v>
      </c>
      <c r="G27" s="1558">
        <f t="shared" ref="G27:H27" si="1">SUM(G9:G26)</f>
        <v>0</v>
      </c>
      <c r="H27" s="1558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C7" sqref="C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4" t="s">
        <v>2131</v>
      </c>
    </row>
    <row r="4" spans="1:15">
      <c r="B4" s="1486" t="s">
        <v>2120</v>
      </c>
      <c r="C4" s="1488" t="s">
        <v>2121</v>
      </c>
      <c r="D4" s="1487" t="s">
        <v>2122</v>
      </c>
      <c r="E4" s="1492"/>
      <c r="F4" s="1492"/>
      <c r="G4" s="1492"/>
      <c r="N4" t="s">
        <v>34</v>
      </c>
      <c r="O4" t="s">
        <v>2123</v>
      </c>
    </row>
    <row r="5" spans="1:15">
      <c r="A5" s="797" t="s">
        <v>2073</v>
      </c>
      <c r="B5" s="846" t="s">
        <v>2129</v>
      </c>
      <c r="C5" s="1495">
        <f>IFERROR(VLOOKUP(A5,Escassez[#All],2,FALSE),0)</f>
        <v>0</v>
      </c>
      <c r="D5" s="1495">
        <f>C5/$C$8*$D$8</f>
        <v>0</v>
      </c>
      <c r="E5" s="1493"/>
      <c r="F5" s="1491"/>
      <c r="G5" s="1482"/>
      <c r="N5" s="8">
        <v>44690</v>
      </c>
      <c r="O5" s="232">
        <f>C8</f>
        <v>-43253.58</v>
      </c>
    </row>
    <row r="6" spans="1:15">
      <c r="A6" s="1470" t="s">
        <v>2074</v>
      </c>
      <c r="B6" s="846" t="s">
        <v>2130</v>
      </c>
      <c r="C6" s="1495">
        <f>IFERROR(VLOOKUP(A6,Escassez[#All],2,FALSE),0)</f>
        <v>-43253.58</v>
      </c>
      <c r="D6" s="1495">
        <f>C6/$C$8*$D$8</f>
        <v>-45482.544057402913</v>
      </c>
      <c r="E6" s="1493"/>
      <c r="F6" s="1491"/>
      <c r="G6" s="1482"/>
      <c r="N6" s="8">
        <f>N5+1</f>
        <v>44691</v>
      </c>
      <c r="O6" s="232">
        <f>O5*VLOOKUP(N6,Índices!$K$6:$N$3249,4,FALSE)/VLOOKUP(N5,Índices!$K$6:$N$3249,4,FALSE)</f>
        <v>-43274.029860088202</v>
      </c>
    </row>
    <row r="7" spans="1:15">
      <c r="A7" s="1470" t="s">
        <v>2075</v>
      </c>
      <c r="B7" s="846" t="s">
        <v>105</v>
      </c>
      <c r="C7" s="1495">
        <f>IFERROR(VLOOKUP(A7,Escassez[#All],2,FALSE),0)</f>
        <v>0</v>
      </c>
      <c r="D7" s="1495">
        <f>C7/$C$8*$D$8</f>
        <v>0</v>
      </c>
      <c r="E7" s="1493"/>
      <c r="F7" s="1491"/>
      <c r="G7" s="1482"/>
      <c r="N7" s="8">
        <f t="shared" ref="N7:N70" si="0">N6+1</f>
        <v>44692</v>
      </c>
      <c r="O7" s="232">
        <f>O6*VLOOKUP(N7,Índices!$K$6:$N$3249,4,FALSE)/VLOOKUP(N6,Índices!$K$6:$N$3249,4,FALSE)</f>
        <v>-43294.489388665752</v>
      </c>
    </row>
    <row r="8" spans="1:15">
      <c r="B8" s="1489"/>
      <c r="C8" s="1496">
        <f>SUM(C5:C7)</f>
        <v>-43253.58</v>
      </c>
      <c r="D8" s="1496">
        <f>VLOOKUP(DataRevRea,'Financeiros Mitigação'!N4:O241,2,FALSE)</f>
        <v>-45482.544057402913</v>
      </c>
      <c r="E8" s="846"/>
      <c r="F8" s="1483"/>
      <c r="G8" s="1483"/>
      <c r="N8" s="8">
        <f t="shared" si="0"/>
        <v>44693</v>
      </c>
      <c r="O8" s="232">
        <f>O7*VLOOKUP(N8,Índices!$K$6:$N$3249,4,FALSE)/VLOOKUP(N7,Índices!$K$6:$N$3249,4,FALSE)</f>
        <v>-43314.95859030381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-43335.437469575714</v>
      </c>
    </row>
    <row r="10" spans="1:15">
      <c r="B10" s="1501"/>
      <c r="C10" s="1501"/>
      <c r="D10" s="1501"/>
      <c r="E10" s="1501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-43335.437469575714</v>
      </c>
    </row>
    <row r="11" spans="1:15">
      <c r="N11" s="8">
        <f>L10+1</f>
        <v>44696</v>
      </c>
      <c r="O11" s="232">
        <f>O10*VLOOKUP(N11,Índices!$K$6:$N$3249,4,FALSE)/VLOOKUP(N10,Índices!$K$6:$N$3249,4,FALSE)</f>
        <v>-43335.437469575714</v>
      </c>
    </row>
    <row r="12" spans="1:15">
      <c r="B12" s="1497" t="s">
        <v>1306</v>
      </c>
      <c r="C12" s="1490"/>
      <c r="D12" s="1498"/>
      <c r="E12" s="1480"/>
      <c r="F12" s="1480"/>
      <c r="G12" s="1480"/>
      <c r="H12" s="1480"/>
      <c r="I12" s="1480"/>
      <c r="J12" s="1480"/>
      <c r="K12" s="1480"/>
      <c r="L12" s="1480"/>
      <c r="N12" s="8">
        <f t="shared" si="0"/>
        <v>44697</v>
      </c>
      <c r="O12" s="232">
        <f>O11*VLOOKUP(N12,Índices!$K$6:$N$3249,4,FALSE)/VLOOKUP(N11,Índices!$K$6:$N$3249,4,FALSE)</f>
        <v>-43355.926031056952</v>
      </c>
    </row>
    <row r="13" spans="1:15">
      <c r="B13" s="1499"/>
      <c r="C13" s="1481"/>
      <c r="D13" s="1481"/>
      <c r="E13" s="1481"/>
      <c r="F13" s="1481"/>
      <c r="G13" s="1481"/>
      <c r="H13" s="1481"/>
      <c r="I13" s="1481"/>
      <c r="J13" s="1481"/>
      <c r="K13" s="1481"/>
      <c r="L13" s="1481"/>
      <c r="N13" s="8">
        <f t="shared" si="0"/>
        <v>44698</v>
      </c>
      <c r="O13" s="232">
        <f>O12*VLOOKUP(N13,Índices!$K$6:$N$3249,4,FALSE)/VLOOKUP(N12,Índices!$K$6:$N$3249,4,FALSE)</f>
        <v>-43376.424279325169</v>
      </c>
    </row>
    <row r="14" spans="1:15">
      <c r="B14" s="1500"/>
      <c r="C14" s="1501"/>
      <c r="D14" s="1501"/>
      <c r="E14" s="1502"/>
      <c r="F14" s="1503"/>
      <c r="G14" s="1482"/>
      <c r="H14" s="1482"/>
      <c r="I14" s="1482"/>
      <c r="J14" s="1482"/>
      <c r="K14" s="1482"/>
      <c r="L14" s="1482"/>
      <c r="N14" s="8">
        <f t="shared" si="0"/>
        <v>44699</v>
      </c>
      <c r="O14" s="232">
        <f>O13*VLOOKUP(N14,Índices!$K$6:$N$3249,4,FALSE)/VLOOKUP(N13,Índices!$K$6:$N$3249,4,FALSE)</f>
        <v>-43396.932218960188</v>
      </c>
    </row>
    <row r="15" spans="1:15">
      <c r="B15" s="1500"/>
      <c r="C15" s="1501"/>
      <c r="D15" s="1501"/>
      <c r="E15" s="1502"/>
      <c r="F15" s="1503"/>
      <c r="G15" s="1482"/>
      <c r="H15" s="1482"/>
      <c r="I15" s="1482"/>
      <c r="J15" s="1482"/>
      <c r="K15" s="1482"/>
      <c r="L15" s="1482"/>
      <c r="N15" s="8">
        <f t="shared" si="0"/>
        <v>44700</v>
      </c>
      <c r="O15" s="232">
        <f>O14*VLOOKUP(N15,Índices!$K$6:$N$3249,4,FALSE)/VLOOKUP(N14,Índices!$K$6:$N$3249,4,FALSE)</f>
        <v>-43417.449854543986</v>
      </c>
    </row>
    <row r="16" spans="1:15">
      <c r="B16" s="1500"/>
      <c r="C16" s="1501"/>
      <c r="D16" s="1501"/>
      <c r="E16" s="1502"/>
      <c r="F16" s="1503"/>
      <c r="G16" s="1482"/>
      <c r="H16" s="1482"/>
      <c r="I16" s="1482"/>
      <c r="J16" s="1482"/>
      <c r="K16" s="1482"/>
      <c r="L16" s="1482"/>
      <c r="N16" s="8">
        <f t="shared" si="0"/>
        <v>44701</v>
      </c>
      <c r="O16" s="232">
        <f>O15*VLOOKUP(N16,Índices!$K$6:$N$3249,4,FALSE)/VLOOKUP(N15,Índices!$K$6:$N$3249,4,FALSE)</f>
        <v>-43437.977190660706</v>
      </c>
    </row>
    <row r="17" spans="2:15">
      <c r="B17" s="1500"/>
      <c r="C17" s="1501"/>
      <c r="D17" s="1501"/>
      <c r="E17" s="1502"/>
      <c r="F17" s="1503"/>
      <c r="G17" s="1482"/>
      <c r="H17" s="1482"/>
      <c r="I17" s="1482"/>
      <c r="J17" s="1482"/>
      <c r="K17" s="1482"/>
      <c r="L17" s="1482"/>
      <c r="N17" s="8">
        <f t="shared" si="0"/>
        <v>44702</v>
      </c>
      <c r="O17" s="232">
        <f>O16*VLOOKUP(N17,Índices!$K$6:$N$3249,4,FALSE)/VLOOKUP(N16,Índices!$K$6:$N$3249,4,FALSE)</f>
        <v>-43437.977190660706</v>
      </c>
    </row>
    <row r="18" spans="2:15">
      <c r="B18" s="1500"/>
      <c r="C18" s="1501"/>
      <c r="D18" s="1501"/>
      <c r="E18" s="1502"/>
      <c r="F18" s="1503"/>
      <c r="G18" s="1482"/>
      <c r="H18" s="1482"/>
      <c r="I18" s="1482"/>
      <c r="J18" s="1482"/>
      <c r="K18" s="1482"/>
      <c r="L18" s="1482"/>
      <c r="N18" s="8">
        <f t="shared" si="0"/>
        <v>44703</v>
      </c>
      <c r="O18" s="232">
        <f>O17*VLOOKUP(N18,Índices!$K$6:$N$3249,4,FALSE)/VLOOKUP(N17,Índices!$K$6:$N$3249,4,FALSE)</f>
        <v>-43437.977190660706</v>
      </c>
    </row>
    <row r="19" spans="2:15">
      <c r="B19" s="1500"/>
      <c r="C19" s="1501"/>
      <c r="D19" s="1501"/>
      <c r="E19" s="1501"/>
      <c r="F19" s="1503"/>
      <c r="G19" s="1482"/>
      <c r="H19" s="1482"/>
      <c r="I19" s="1482"/>
      <c r="J19" s="1482"/>
      <c r="K19" s="1482"/>
      <c r="L19" s="1482"/>
      <c r="N19" s="8">
        <f t="shared" si="0"/>
        <v>44704</v>
      </c>
      <c r="O19" s="232">
        <f>O18*VLOOKUP(N19,Índices!$K$6:$N$3249,4,FALSE)/VLOOKUP(N18,Índices!$K$6:$N$3249,4,FALSE)</f>
        <v>-43458.514231896675</v>
      </c>
    </row>
    <row r="20" spans="2:15">
      <c r="B20" s="1500"/>
      <c r="C20" s="1501"/>
      <c r="D20" s="1501"/>
      <c r="E20" s="1501"/>
      <c r="F20" s="1503"/>
      <c r="G20" s="1482"/>
      <c r="H20" s="1482"/>
      <c r="I20" s="1482"/>
      <c r="J20" s="1482"/>
      <c r="K20" s="1482"/>
      <c r="L20" s="1482"/>
      <c r="N20" s="8">
        <f t="shared" si="0"/>
        <v>44705</v>
      </c>
      <c r="O20" s="232">
        <f>O19*VLOOKUP(N20,Índices!$K$6:$N$3249,4,FALSE)/VLOOKUP(N19,Índices!$K$6:$N$3249,4,FALSE)</f>
        <v>-43479.060982840369</v>
      </c>
    </row>
    <row r="21" spans="2:15">
      <c r="B21" s="1500"/>
      <c r="C21" s="1501"/>
      <c r="D21" s="1501"/>
      <c r="E21" s="1501"/>
      <c r="F21" s="1503"/>
      <c r="G21" s="1482"/>
      <c r="H21" s="1482"/>
      <c r="I21" s="1482"/>
      <c r="J21" s="1482"/>
      <c r="K21" s="1482"/>
      <c r="L21" s="1482"/>
      <c r="N21" s="8">
        <f t="shared" si="0"/>
        <v>44706</v>
      </c>
      <c r="O21" s="232">
        <f>O20*VLOOKUP(N21,Índices!$K$6:$N$3249,4,FALSE)/VLOOKUP(N20,Índices!$K$6:$N$3249,4,FALSE)</f>
        <v>-43499.617448082441</v>
      </c>
    </row>
    <row r="22" spans="2:15">
      <c r="B22" s="1500"/>
      <c r="C22" s="1501"/>
      <c r="D22" s="1501"/>
      <c r="E22" s="1501"/>
      <c r="F22" s="1503"/>
      <c r="G22" s="1482"/>
      <c r="H22" s="1482"/>
      <c r="I22" s="1482"/>
      <c r="J22" s="1482"/>
      <c r="K22" s="1482"/>
      <c r="L22" s="1482"/>
      <c r="N22" s="8">
        <f t="shared" si="0"/>
        <v>44707</v>
      </c>
      <c r="O22" s="232">
        <f>O21*VLOOKUP(N22,Índices!$K$6:$N$3249,4,FALSE)/VLOOKUP(N21,Índices!$K$6:$N$3249,4,FALSE)</f>
        <v>-43520.183632215711</v>
      </c>
    </row>
    <row r="23" spans="2:15">
      <c r="B23" s="1500"/>
      <c r="C23" s="1501"/>
      <c r="D23" s="1501"/>
      <c r="E23" s="1501"/>
      <c r="F23" s="1503"/>
      <c r="G23" s="1482"/>
      <c r="H23" s="1482"/>
      <c r="I23" s="1482"/>
      <c r="J23" s="1482"/>
      <c r="K23" s="1482"/>
      <c r="L23" s="1482"/>
      <c r="N23" s="8">
        <f t="shared" si="0"/>
        <v>44708</v>
      </c>
      <c r="O23" s="232">
        <f>O22*VLOOKUP(N23,Índices!$K$6:$N$3249,4,FALSE)/VLOOKUP(N22,Índices!$K$6:$N$3249,4,FALSE)</f>
        <v>-43540.759539835184</v>
      </c>
    </row>
    <row r="24" spans="2:15">
      <c r="B24" s="1500"/>
      <c r="C24" s="1501"/>
      <c r="D24" s="1501"/>
      <c r="E24" s="1501"/>
      <c r="F24" s="1503"/>
      <c r="G24" s="1482"/>
      <c r="H24" s="1482"/>
      <c r="I24" s="1482"/>
      <c r="J24" s="1482"/>
      <c r="K24" s="1482"/>
      <c r="L24" s="1482"/>
      <c r="N24" s="8">
        <f t="shared" si="0"/>
        <v>44709</v>
      </c>
      <c r="O24" s="232">
        <f>O23*VLOOKUP(N24,Índices!$K$6:$N$3249,4,FALSE)/VLOOKUP(N23,Índices!$K$6:$N$3249,4,FALSE)</f>
        <v>-43540.759539835184</v>
      </c>
    </row>
    <row r="25" spans="2:15">
      <c r="B25" s="1504"/>
      <c r="C25" s="1501"/>
      <c r="D25" s="1501"/>
      <c r="E25" s="1505"/>
      <c r="F25" s="1503"/>
      <c r="G25" s="1482"/>
      <c r="H25" s="1482"/>
      <c r="I25" s="1482"/>
      <c r="J25" s="1482"/>
      <c r="K25" s="1482"/>
      <c r="L25" s="1482"/>
      <c r="N25" s="8">
        <f t="shared" si="0"/>
        <v>44710</v>
      </c>
      <c r="O25" s="232">
        <f>O24*VLOOKUP(N25,Índices!$K$6:$N$3249,4,FALSE)/VLOOKUP(N24,Índices!$K$6:$N$3249,4,FALSE)</f>
        <v>-43540.759539835184</v>
      </c>
    </row>
    <row r="26" spans="2:15">
      <c r="B26" s="1506"/>
      <c r="C26" s="846"/>
      <c r="D26" s="846"/>
      <c r="E26" s="846"/>
      <c r="F26" s="1483"/>
      <c r="G26" s="1483"/>
      <c r="H26" s="1483"/>
      <c r="I26" s="1483"/>
      <c r="J26" s="1483"/>
      <c r="K26" s="1483"/>
      <c r="L26" s="1483"/>
      <c r="N26" s="8">
        <f t="shared" si="0"/>
        <v>44711</v>
      </c>
      <c r="O26" s="232">
        <f>O25*VLOOKUP(N26,Índices!$K$6:$N$3249,4,FALSE)/VLOOKUP(N25,Índices!$K$6:$N$3249,4,FALSE)</f>
        <v>-43561.345175538016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-43581.940543923556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-43602.54564959331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-43623.160497150981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-43643.785091202422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-43643.785091202422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-43643.785091202422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-43664.419436355689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-43685.063537220994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-43705.717398410758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-43726.381024539543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-43747.054420224122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-43747.054420224122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-43747.054420224122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-43767.737590083452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-43788.430538738663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-43809.133270813065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-43809.133270813065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-43830.615955495072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-43830.615955495072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-43830.615955495072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-43852.109174641177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-43873.612933417149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-43895.127236991313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-43916.652090534524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-43938.187499220163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-43938.18749922017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-43938.18749922017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-43959.733468224164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-43981.290002724978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-44002.857107903619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-44024.434788943618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-44046.023051031079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-44046.023051031079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-44046.023051031079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-44067.621899354621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-44089.231339105405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-44110.85137547717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-44132.482013666158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-44154.123258871208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-44154.123258871208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-44154.123258871208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-44175.775116293662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-44197.437591137445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-44219.110688609013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-44240.794413917385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-44262.488772274141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-44262.488772274141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-44262.488772274141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-44284.193768893405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-44305.909408991858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-44327.635697788748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-44349.372640505877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-44371.120242367608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-44371.120242367608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-44371.120242367608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-44392.878508600857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-44414.647444435126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-44436.42705510246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-44458.217345837475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-44480.01832187736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-44480.01832187736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-44480.01832187736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-44501.829988461861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-44523.652350833312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-44545.485414236588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-44568.109175368772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-44590.744426656755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-44590.744426656755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-44590.744426656755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-44613.391173936165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-44636.049423045581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-44658.719179826556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-44681.400450123605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-44704.093239784212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-44704.093239784212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-44704.093239784212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-44726.797554658828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-44749.513400600888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-44772.240783466783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-44794.979709115891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-44817.73018341056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-44817.73018341056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-44817.73018341056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-44840.492212216108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-44863.265801400848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-44886.050956836065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-44908.847684396031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-44931.655989957981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-44931.655989957981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-44931.655989957981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-44954.475879402162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-44977.30735861179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-45000.150433473078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-45023.005109875237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-45045.87139371044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-45045.87139371044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-45045.87139371044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-45068.749290873879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-45091.638807263727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-45091.638807263727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-45114.539948781159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-45137.452721330345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-45137.452721330345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-45137.452721330345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-45160.377130818459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-45183.31318315566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-45206.26088425512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-45229.220240033021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-45252.191256408536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-45252.191256408536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-45252.191256408536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-45275.173939303844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-45298.168294644136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-45321.174328357614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-45344.192046375501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-45367.221454632017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-45367.221454632017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-45367.221454632017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-45390.262559064395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-45413.3153656129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-45436.379880220789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-45459.456108834354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-45482.544057402913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-45482.544057402913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-45482.544057402913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-45505.643731878794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-45528.755138217341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-45551.878282376936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-45575.013170318991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-45598.159808007927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-45598.159808007927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-45598.159808007927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-45621.318201411224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-45644.488356499351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-45644.488356499351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-45667.670279245853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-45690.863975627275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-45690.863975627275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-45690.863975627275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-45714.069451623218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-45737.286713216316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-45760.515766392222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-45783.756617139654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-45807.00927145037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-45807.00927145037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-45807.00927145037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-45830.273735319155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-45853.550014743843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-45876.838115725332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-45900.138044267551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-45923.449806377474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-45923.449806377474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-45923.449806377474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-45946.773408065135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-45970.10885534362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-45970.10885534362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-45993.456154229076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-46016.815310740683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-46016.815310740683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-46016.815310740683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-46040.186330900702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-46063.56922073444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-46086.963986270268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-46110.37063353962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-46133.789168576986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-46133.789168576986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-46133.789168576986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-46157.21959741992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-46157.21959741992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-46180.661926109053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-46204.116160688085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-46227.582307203775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-46227.582307203775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-46227.582307203775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-46251.060371705964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-46274.550360247551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-46298.052278884512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-46321.566133675915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-46345.091930683884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-46345.091930683884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-46345.091930683884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-46368.629675973636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-46392.179375613465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-46415.741035674757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-46439.314662231955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-46462.900261362607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-46462.900261362607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-46462.900261362607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-46486.497839147349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-46510.107401669891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-46533.728955017054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-46557.362505278725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-46581.008058547901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-46581.008058547901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-46581.008058547901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-46604.665620920685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-46628.335198496243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-46652.016797376855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-46675.710423667908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-46699.416083477881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-46699.416083477881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-46699.416083477881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-46723.133782918361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-46746.863528104033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-46770.60532515269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-46794.359180185224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-46818.125099325662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-46818.125099325662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-46818.125099325662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-46841.903088701103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-46865.693154441789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-46889.495302681069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-46913.30953955539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-46937.135871204344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-46937.135871204344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Normal="100" workbookViewId="0"/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1308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8" t="s">
        <v>874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2133</v>
      </c>
      <c r="C7" s="871"/>
      <c r="D7" s="874"/>
      <c r="E7" s="874"/>
      <c r="F7" s="875"/>
      <c r="G7" s="870"/>
      <c r="H7" s="870"/>
      <c r="I7" s="870"/>
      <c r="J7" s="870"/>
      <c r="K7" s="870"/>
      <c r="R7" s="1318" t="s">
        <v>874</v>
      </c>
    </row>
    <row r="8" spans="1:18" ht="27.95" customHeight="1">
      <c r="B8" s="876" t="s">
        <v>778</v>
      </c>
      <c r="C8" s="876" t="s">
        <v>1309</v>
      </c>
      <c r="D8" s="876" t="s">
        <v>1310</v>
      </c>
      <c r="E8" s="1519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9" t="s">
        <v>1311</v>
      </c>
      <c r="C9" s="1320"/>
      <c r="D9" s="1320"/>
      <c r="E9" s="1526"/>
      <c r="F9" s="862"/>
      <c r="G9" s="436"/>
      <c r="H9" s="1321" t="s">
        <v>1312</v>
      </c>
      <c r="I9" s="1569">
        <v>-737.77549999999997</v>
      </c>
      <c r="R9" s="1318" t="s">
        <v>874</v>
      </c>
    </row>
    <row r="10" spans="1:18" ht="14.45" customHeight="1">
      <c r="B10" s="878" t="s">
        <v>41</v>
      </c>
      <c r="C10" s="879"/>
      <c r="D10" s="879"/>
      <c r="E10" s="1526"/>
      <c r="F10" s="862"/>
      <c r="G10" s="436"/>
      <c r="H10" s="880" t="s">
        <v>1313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1314</v>
      </c>
      <c r="C11" s="879"/>
      <c r="D11" s="879"/>
      <c r="E11" s="1526"/>
      <c r="F11" s="862"/>
      <c r="G11" s="862"/>
      <c r="H11" s="880" t="s">
        <v>1315</v>
      </c>
      <c r="I11" s="1568"/>
      <c r="R11" s="1318" t="s">
        <v>874</v>
      </c>
    </row>
    <row r="12" spans="1:18" ht="14.45" customHeight="1">
      <c r="B12" s="878" t="s">
        <v>635</v>
      </c>
      <c r="C12" s="879"/>
      <c r="D12" s="879"/>
      <c r="E12" s="1526"/>
      <c r="F12" s="862"/>
      <c r="G12" s="436"/>
      <c r="H12" s="880" t="s">
        <v>1316</v>
      </c>
      <c r="I12" s="1568"/>
      <c r="R12" s="890" t="e">
        <f>DATE(YEAR(R14),MONTH(R14)-1,1)</f>
        <v>#NUM!</v>
      </c>
    </row>
    <row r="13" spans="1:18" ht="14.45" customHeight="1">
      <c r="B13" s="878" t="s">
        <v>1317</v>
      </c>
      <c r="C13" s="879">
        <v>-64479.469400000002</v>
      </c>
      <c r="D13" s="879">
        <v>-58703.927799999998</v>
      </c>
      <c r="E13" s="1526"/>
      <c r="F13" s="862"/>
      <c r="G13" s="436"/>
      <c r="H13" s="880" t="s">
        <v>1318</v>
      </c>
      <c r="I13" s="1322"/>
      <c r="R13" s="1318" t="s">
        <v>874</v>
      </c>
    </row>
    <row r="14" spans="1:18" ht="14.45" customHeight="1">
      <c r="B14" s="878" t="s">
        <v>112</v>
      </c>
      <c r="C14" s="879"/>
      <c r="D14" s="879"/>
      <c r="E14" s="1526"/>
      <c r="F14" s="862"/>
      <c r="G14" s="436"/>
      <c r="H14" s="1321" t="s">
        <v>1319</v>
      </c>
      <c r="I14" s="1570">
        <v>115997.094760569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1320</v>
      </c>
      <c r="C15" s="879"/>
      <c r="D15" s="879"/>
      <c r="E15" s="1526"/>
      <c r="F15" s="862"/>
      <c r="G15" s="436"/>
      <c r="H15" s="1323" t="s">
        <v>1321</v>
      </c>
      <c r="I15" s="1324">
        <f>-Indexador!$N$49</f>
        <v>-123230.44921488344</v>
      </c>
      <c r="J15" s="862"/>
      <c r="K15" s="862"/>
      <c r="R15" s="1318" t="s">
        <v>874</v>
      </c>
    </row>
    <row r="16" spans="1:18" ht="14.45" customHeight="1">
      <c r="B16" s="878" t="s">
        <v>109</v>
      </c>
      <c r="C16" s="879"/>
      <c r="D16" s="879"/>
      <c r="E16" s="1526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>
        <v>57292.076699999998</v>
      </c>
      <c r="D17" s="879">
        <v>60497.069499999998</v>
      </c>
      <c r="E17" s="1526"/>
      <c r="F17" s="862"/>
      <c r="G17" s="436"/>
      <c r="H17" s="862"/>
      <c r="I17" s="862"/>
      <c r="J17" s="862"/>
      <c r="K17" s="862"/>
      <c r="R17" s="1318" t="s">
        <v>874</v>
      </c>
    </row>
    <row r="18" spans="1:18" ht="14.45" customHeight="1">
      <c r="B18" s="882" t="s">
        <v>769</v>
      </c>
      <c r="C18" s="883">
        <f>SUM(C9:C17)</f>
        <v>-7187.392700000004</v>
      </c>
      <c r="D18" s="883">
        <f t="shared" ref="D18" si="0">SUM(D9:D17)</f>
        <v>1793.1417000000001</v>
      </c>
      <c r="E18" s="1527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8" t="s">
        <v>874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11"/>
      <c r="B21" s="1512"/>
      <c r="C21" s="1513"/>
      <c r="D21" s="1513"/>
      <c r="E21" s="1513"/>
      <c r="F21" s="1512"/>
      <c r="G21" s="1512"/>
      <c r="H21" s="1514"/>
      <c r="R21" s="1318" t="s">
        <v>874</v>
      </c>
    </row>
    <row r="22" spans="1:18" ht="14.45" customHeight="1">
      <c r="A22" s="1515"/>
      <c r="B22" s="1516"/>
      <c r="C22" s="1517"/>
      <c r="D22" s="1517"/>
      <c r="E22" s="1517"/>
      <c r="F22" s="1518"/>
      <c r="G22" s="1518"/>
      <c r="H22" s="1515"/>
      <c r="R22" s="890" t="e">
        <f>DATE(YEAR(R24),MONTH(R24)-1,1)</f>
        <v>#NUM!</v>
      </c>
    </row>
    <row r="23" spans="1:18" ht="42" customHeight="1">
      <c r="A23" s="1515"/>
      <c r="B23" s="1519"/>
      <c r="C23" s="1519"/>
      <c r="D23" s="1519"/>
      <c r="E23" s="1519"/>
      <c r="F23" s="1519"/>
      <c r="G23" s="1519"/>
      <c r="H23" s="1515"/>
      <c r="R23" s="1318" t="s">
        <v>874</v>
      </c>
    </row>
    <row r="24" spans="1:18" ht="14.45" customHeight="1">
      <c r="A24" s="1515"/>
      <c r="B24" s="878"/>
      <c r="C24" s="885"/>
      <c r="D24" s="1507"/>
      <c r="E24" s="885"/>
      <c r="F24" s="886"/>
      <c r="G24" s="886"/>
      <c r="H24" s="1520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15"/>
      <c r="B25" s="878"/>
      <c r="C25" s="885"/>
      <c r="D25" s="1508"/>
      <c r="E25" s="885"/>
      <c r="F25" s="886"/>
      <c r="G25" s="893"/>
      <c r="H25" s="1520"/>
      <c r="I25" s="884"/>
      <c r="J25" s="884"/>
      <c r="K25" s="877"/>
      <c r="R25" s="1318" t="s">
        <v>874</v>
      </c>
    </row>
    <row r="26" spans="1:18" ht="14.45" customHeight="1">
      <c r="A26" s="1515"/>
      <c r="B26" s="878"/>
      <c r="C26" s="885"/>
      <c r="D26" s="1508"/>
      <c r="E26" s="885"/>
      <c r="F26" s="886"/>
      <c r="G26" s="893"/>
      <c r="H26" s="1520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15"/>
      <c r="B27" s="878"/>
      <c r="C27" s="885"/>
      <c r="D27" s="1508"/>
      <c r="E27" s="885"/>
      <c r="F27" s="886"/>
      <c r="G27" s="893"/>
      <c r="H27" s="1520"/>
      <c r="I27" s="886"/>
      <c r="J27" s="886"/>
      <c r="K27" s="877"/>
      <c r="R27" s="1318" t="s">
        <v>874</v>
      </c>
    </row>
    <row r="28" spans="1:18" ht="14.45" customHeight="1">
      <c r="A28" s="1515"/>
      <c r="B28" s="878"/>
      <c r="C28" s="885"/>
      <c r="D28" s="1508"/>
      <c r="E28" s="885"/>
      <c r="F28" s="886"/>
      <c r="G28" s="893"/>
      <c r="H28" s="1520"/>
      <c r="I28" s="886"/>
      <c r="J28" s="886"/>
      <c r="K28" s="877"/>
      <c r="R28" s="890">
        <f>B65</f>
        <v>0</v>
      </c>
    </row>
    <row r="29" spans="1:18" ht="14.45" customHeight="1">
      <c r="A29" s="1515"/>
      <c r="B29" s="878"/>
      <c r="C29" s="885"/>
      <c r="D29" s="1508"/>
      <c r="E29" s="885"/>
      <c r="F29" s="886"/>
      <c r="G29" s="893"/>
      <c r="H29" s="1520"/>
      <c r="I29" s="886"/>
      <c r="J29" s="886"/>
      <c r="K29" s="877"/>
    </row>
    <row r="30" spans="1:18" ht="14.45" customHeight="1">
      <c r="A30" s="1515"/>
      <c r="B30" s="878"/>
      <c r="C30" s="885"/>
      <c r="D30" s="1508"/>
      <c r="E30" s="885"/>
      <c r="F30" s="886"/>
      <c r="G30" s="893"/>
      <c r="H30" s="1518"/>
      <c r="I30" s="886"/>
      <c r="J30" s="886"/>
      <c r="K30" s="877"/>
    </row>
    <row r="31" spans="1:18" ht="14.45" customHeight="1">
      <c r="A31" s="1515"/>
      <c r="B31" s="878"/>
      <c r="C31" s="885"/>
      <c r="D31" s="1508"/>
      <c r="E31" s="885"/>
      <c r="F31" s="886"/>
      <c r="G31" s="893"/>
      <c r="H31" s="1515"/>
      <c r="I31" s="886"/>
      <c r="J31" s="886"/>
      <c r="K31" s="862"/>
    </row>
    <row r="32" spans="1:18" ht="14.45" customHeight="1">
      <c r="A32" s="1515"/>
      <c r="B32" s="878"/>
      <c r="C32" s="885"/>
      <c r="D32" s="1508"/>
      <c r="E32" s="885"/>
      <c r="F32" s="886"/>
      <c r="G32" s="893"/>
      <c r="H32" s="1515"/>
      <c r="I32" s="886"/>
      <c r="J32" s="886"/>
      <c r="K32" s="862"/>
    </row>
    <row r="33" spans="1:11" ht="14.45" customHeight="1">
      <c r="A33" s="1515"/>
      <c r="B33" s="1521"/>
      <c r="C33" s="1522"/>
      <c r="D33" s="1522"/>
      <c r="E33" s="1522"/>
      <c r="F33" s="1523"/>
      <c r="G33" s="1523"/>
      <c r="H33" s="1515"/>
      <c r="I33" s="891"/>
      <c r="J33" s="891"/>
      <c r="K33" s="862"/>
    </row>
    <row r="34" spans="1:11" ht="14.45" customHeight="1">
      <c r="A34" s="1515"/>
      <c r="B34" s="1518"/>
      <c r="C34" s="1524"/>
      <c r="D34" s="1517"/>
      <c r="E34" s="1517"/>
      <c r="F34" s="1518"/>
      <c r="G34" s="1518"/>
      <c r="H34" s="1515"/>
      <c r="K34" s="862"/>
    </row>
    <row r="35" spans="1:11" ht="14.45" customHeight="1">
      <c r="A35" s="1515"/>
      <c r="B35" s="1518"/>
      <c r="C35" s="1517"/>
      <c r="D35" s="1517"/>
      <c r="E35" s="1517"/>
      <c r="F35" s="436"/>
      <c r="G35" s="1518"/>
      <c r="H35" s="1515"/>
      <c r="K35" s="862"/>
    </row>
    <row r="36" spans="1:11" ht="14.45" customHeight="1">
      <c r="A36" s="1515"/>
      <c r="B36" s="1516"/>
      <c r="C36" s="1524"/>
      <c r="D36" s="1517"/>
      <c r="E36" s="1517"/>
      <c r="F36" s="1518"/>
      <c r="G36" s="1525"/>
      <c r="H36" s="1515"/>
      <c r="K36" s="862"/>
    </row>
    <row r="37" spans="1:11" ht="43.5" customHeight="1">
      <c r="A37" s="1515"/>
      <c r="B37" s="1519"/>
      <c r="C37" s="1519"/>
      <c r="D37" s="1519"/>
      <c r="E37" s="887"/>
      <c r="F37" s="436"/>
      <c r="G37" s="1518"/>
      <c r="H37" s="1518"/>
      <c r="I37" s="862"/>
      <c r="J37" s="862"/>
      <c r="K37" s="862"/>
    </row>
    <row r="38" spans="1:11" ht="14.45" customHeight="1">
      <c r="A38" s="1515"/>
      <c r="B38" s="878"/>
      <c r="C38" s="1517"/>
      <c r="D38" s="887"/>
      <c r="E38" s="887"/>
      <c r="F38" s="436"/>
      <c r="G38" s="1518"/>
      <c r="H38" s="1518"/>
      <c r="I38" s="862"/>
      <c r="J38" s="862"/>
      <c r="K38" s="862"/>
    </row>
    <row r="39" spans="1:11" ht="14.45" customHeight="1">
      <c r="A39" s="1515"/>
      <c r="B39" s="878"/>
      <c r="C39" s="1517"/>
      <c r="D39" s="1509"/>
      <c r="E39" s="887"/>
      <c r="F39" s="436"/>
      <c r="G39" s="436"/>
      <c r="H39" s="1518"/>
      <c r="I39" s="862"/>
      <c r="J39" s="862"/>
      <c r="K39" s="862"/>
    </row>
    <row r="40" spans="1:11" ht="14.45" customHeight="1">
      <c r="A40" s="1515"/>
      <c r="B40" s="878"/>
      <c r="C40" s="887"/>
      <c r="D40" s="1509"/>
      <c r="E40" s="887"/>
      <c r="F40" s="436"/>
      <c r="G40" s="1518"/>
      <c r="H40" s="1518"/>
      <c r="I40" s="862"/>
      <c r="J40" s="862"/>
      <c r="K40" s="862"/>
    </row>
    <row r="41" spans="1:11" ht="14.45" customHeight="1">
      <c r="A41" s="1515"/>
      <c r="B41" s="878"/>
      <c r="C41" s="887"/>
      <c r="D41" s="1509"/>
      <c r="E41" s="887"/>
      <c r="F41" s="436"/>
      <c r="G41" s="1518"/>
      <c r="H41" s="1518"/>
      <c r="I41" s="862"/>
      <c r="J41" s="862"/>
      <c r="K41" s="862"/>
    </row>
    <row r="42" spans="1:11" ht="14.45" customHeight="1">
      <c r="A42" s="1515"/>
      <c r="B42" s="878"/>
      <c r="C42" s="1510"/>
      <c r="D42" s="1509"/>
      <c r="E42" s="887"/>
      <c r="F42" s="436"/>
      <c r="G42" s="1518"/>
      <c r="H42" s="1518"/>
      <c r="I42" s="862"/>
      <c r="J42" s="862"/>
      <c r="K42" s="862"/>
    </row>
    <row r="43" spans="1:11" ht="14.45" customHeight="1">
      <c r="A43" s="1515"/>
      <c r="B43" s="878"/>
      <c r="C43" s="887"/>
      <c r="D43" s="887"/>
      <c r="E43" s="887"/>
      <c r="F43" s="436"/>
      <c r="G43" s="1518"/>
      <c r="H43" s="1518"/>
      <c r="I43" s="862"/>
      <c r="J43" s="862"/>
      <c r="K43" s="862"/>
    </row>
    <row r="44" spans="1:11" ht="14.45" customHeight="1">
      <c r="A44" s="1515"/>
      <c r="B44" s="878"/>
      <c r="C44" s="887"/>
      <c r="D44" s="887"/>
      <c r="E44" s="887"/>
      <c r="F44" s="436"/>
      <c r="G44" s="1518"/>
      <c r="H44" s="1518"/>
      <c r="I44" s="862"/>
      <c r="J44" s="862"/>
      <c r="K44" s="862"/>
    </row>
    <row r="45" spans="1:11" ht="14.45" customHeight="1">
      <c r="A45" s="1515"/>
      <c r="B45" s="878"/>
      <c r="C45" s="887"/>
      <c r="D45" s="887"/>
      <c r="E45" s="887"/>
      <c r="F45" s="436"/>
      <c r="G45" s="1518"/>
      <c r="H45" s="1518"/>
      <c r="I45" s="862"/>
      <c r="J45" s="862"/>
      <c r="K45" s="862"/>
    </row>
    <row r="46" spans="1:11" ht="14.45" customHeight="1">
      <c r="A46" s="1515"/>
      <c r="B46" s="878"/>
      <c r="C46" s="887"/>
      <c r="D46" s="887"/>
      <c r="E46" s="887"/>
      <c r="F46" s="436"/>
      <c r="G46" s="1518"/>
      <c r="H46" s="1518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15"/>
      <c r="AD52" s="1515"/>
    </row>
    <row r="53" spans="2:30" ht="15" customHeight="1">
      <c r="B53" s="1572"/>
      <c r="C53" s="1572"/>
      <c r="D53" s="1572"/>
      <c r="E53" s="1572"/>
      <c r="F53" s="1572"/>
      <c r="G53" s="1572"/>
      <c r="H53" s="1572"/>
      <c r="I53" s="1572"/>
      <c r="J53" s="1572"/>
      <c r="K53" s="1572"/>
      <c r="L53" s="1572"/>
      <c r="M53" s="1572"/>
      <c r="N53" s="1572"/>
      <c r="O53" s="1572"/>
      <c r="P53" s="1572"/>
      <c r="Q53" s="1572"/>
      <c r="R53" s="1572"/>
      <c r="S53" s="1572"/>
      <c r="T53" s="1572"/>
      <c r="U53" s="1572"/>
      <c r="V53" s="1572"/>
      <c r="W53" s="1572"/>
      <c r="X53" s="1572"/>
      <c r="Y53" s="1572"/>
      <c r="Z53" s="1572"/>
      <c r="AA53" s="1572"/>
      <c r="AB53" s="1572"/>
      <c r="AC53" s="1515"/>
      <c r="AD53" s="1515"/>
    </row>
    <row r="54" spans="2:30" ht="15" customHeight="1">
      <c r="B54" s="1573"/>
      <c r="C54" s="1571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74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15"/>
      <c r="AD54" s="1515"/>
    </row>
    <row r="55" spans="2:30" ht="15" customHeight="1">
      <c r="B55" s="1573"/>
      <c r="C55" s="1571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74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15"/>
      <c r="AD55" s="1515"/>
    </row>
    <row r="56" spans="2:30" ht="15" customHeight="1">
      <c r="B56" s="1573"/>
      <c r="C56" s="1571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74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15"/>
      <c r="AD56" s="1515"/>
    </row>
    <row r="57" spans="2:30" ht="15" customHeight="1">
      <c r="B57" s="1573"/>
      <c r="C57" s="1571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74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15"/>
      <c r="AD57" s="1515"/>
    </row>
    <row r="58" spans="2:30" ht="15" customHeight="1">
      <c r="B58" s="1573"/>
      <c r="C58" s="1571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74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15"/>
      <c r="AD58" s="1515"/>
    </row>
    <row r="59" spans="2:30" ht="15" customHeight="1">
      <c r="B59" s="1573"/>
      <c r="C59" s="1571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74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15"/>
      <c r="AD59" s="1515"/>
    </row>
    <row r="60" spans="2:30" ht="15" customHeight="1">
      <c r="B60" s="1573"/>
      <c r="C60" s="1571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74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15"/>
      <c r="AD60" s="1515"/>
    </row>
    <row r="61" spans="2:30" ht="15" customHeight="1">
      <c r="B61" s="1573"/>
      <c r="C61" s="1571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74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15"/>
      <c r="AD61" s="1515"/>
    </row>
    <row r="62" spans="2:30" ht="15" customHeight="1">
      <c r="B62" s="1573"/>
      <c r="C62" s="1571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74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15"/>
      <c r="AD62" s="1515"/>
    </row>
    <row r="63" spans="2:30" ht="15" customHeight="1">
      <c r="B63" s="1573"/>
      <c r="C63" s="1571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74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15"/>
      <c r="AD63" s="1515"/>
    </row>
    <row r="64" spans="2:30" ht="15" customHeight="1">
      <c r="B64" s="1573"/>
      <c r="C64" s="1571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74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15"/>
      <c r="AD64" s="1515"/>
    </row>
    <row r="65" spans="2:30" ht="15" customHeight="1">
      <c r="B65" s="1573"/>
      <c r="C65" s="1571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74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15"/>
      <c r="AD65" s="1515"/>
    </row>
    <row r="66" spans="2:30" ht="15" customHeight="1">
      <c r="B66" s="1463"/>
      <c r="C66" s="1575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15"/>
      <c r="AD66" s="1515"/>
    </row>
    <row r="67" spans="2:30" ht="15" customHeight="1">
      <c r="B67" s="1576"/>
      <c r="C67" s="1576"/>
      <c r="D67" s="1523"/>
      <c r="E67" s="1523"/>
      <c r="F67" s="1523"/>
      <c r="G67" s="1523"/>
      <c r="H67" s="1523"/>
      <c r="I67" s="1523"/>
      <c r="J67" s="1523"/>
      <c r="K67" s="1523"/>
      <c r="L67" s="1523"/>
      <c r="M67" s="1523"/>
      <c r="N67" s="1523"/>
      <c r="O67" s="1523"/>
      <c r="P67" s="1523"/>
      <c r="Q67" s="1523"/>
      <c r="R67" s="1523"/>
      <c r="S67" s="1523"/>
      <c r="T67" s="1523"/>
      <c r="U67" s="1523"/>
      <c r="V67" s="1523"/>
      <c r="W67" s="1523"/>
      <c r="X67" s="1523"/>
      <c r="Y67" s="1523"/>
      <c r="Z67" s="1523"/>
      <c r="AA67" s="1523"/>
      <c r="AB67" s="1523"/>
      <c r="AC67" s="1515"/>
      <c r="AD67" s="1515"/>
    </row>
    <row r="68" spans="2:30" ht="15" customHeight="1">
      <c r="B68" s="1515"/>
      <c r="C68" s="1577"/>
      <c r="D68" s="1577"/>
      <c r="E68" s="1577"/>
      <c r="F68" s="1515"/>
      <c r="G68" s="1515"/>
      <c r="H68" s="1515"/>
      <c r="I68" s="1515"/>
      <c r="J68" s="1515"/>
      <c r="K68" s="1515"/>
      <c r="L68" s="1515"/>
      <c r="M68" s="1515"/>
      <c r="N68" s="1515"/>
      <c r="O68" s="1515"/>
      <c r="P68" s="1515"/>
      <c r="Q68" s="1515"/>
      <c r="R68" s="1515"/>
      <c r="S68" s="1515"/>
      <c r="T68" s="1515"/>
      <c r="U68" s="1515"/>
      <c r="V68" s="1515"/>
      <c r="W68" s="1515"/>
      <c r="X68" s="1515"/>
      <c r="Y68" s="1515"/>
      <c r="Z68" s="1515"/>
      <c r="AA68" s="1515"/>
      <c r="AB68" s="1515"/>
      <c r="AC68" s="1515"/>
      <c r="AD68" s="1515"/>
    </row>
    <row r="69" spans="2:30" ht="15" customHeight="1">
      <c r="B69" s="1515"/>
      <c r="C69" s="1577"/>
      <c r="D69" s="1577"/>
      <c r="E69" s="1577"/>
      <c r="F69" s="1515"/>
      <c r="G69" s="1515"/>
      <c r="H69" s="1515"/>
      <c r="I69" s="1515"/>
      <c r="J69" s="1515"/>
      <c r="K69" s="1515"/>
      <c r="L69" s="1515"/>
      <c r="M69" s="1515"/>
      <c r="N69" s="1515"/>
      <c r="O69" s="1515"/>
      <c r="P69" s="1515"/>
      <c r="Q69" s="1515"/>
      <c r="R69" s="1515"/>
      <c r="S69" s="1515"/>
      <c r="T69" s="1515"/>
      <c r="U69" s="1515"/>
      <c r="V69" s="1515"/>
      <c r="W69" s="1515"/>
      <c r="X69" s="1515"/>
      <c r="Y69" s="1515"/>
      <c r="Z69" s="1515"/>
      <c r="AA69" s="1515"/>
      <c r="AB69" s="1515"/>
      <c r="AC69" s="1515"/>
      <c r="AD69" s="1515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workbookViewId="0"/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4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353"/>
      <c r="P2" s="353"/>
      <c r="Q2" s="353"/>
      <c r="R2" s="9"/>
      <c r="S2" s="9"/>
      <c r="T2" s="9"/>
      <c r="U2" s="9"/>
      <c r="V2" s="9"/>
    </row>
    <row r="3" spans="1:22">
      <c r="A3" s="665" t="s">
        <v>1324</v>
      </c>
      <c r="B3" s="65"/>
      <c r="C3" s="65"/>
      <c r="D3" s="65"/>
      <c r="E3" s="65"/>
      <c r="F3" s="663"/>
      <c r="G3" s="353"/>
      <c r="H3" s="353"/>
      <c r="I3" s="665" t="s">
        <v>1325</v>
      </c>
      <c r="J3" s="353"/>
      <c r="K3" s="666"/>
      <c r="L3" s="9"/>
      <c r="M3" s="9"/>
      <c r="N3" s="663"/>
      <c r="O3" s="353"/>
      <c r="P3" s="353"/>
      <c r="Q3" s="353"/>
      <c r="R3" s="9"/>
      <c r="S3" s="9"/>
      <c r="T3" s="9"/>
      <c r="U3" s="9"/>
      <c r="V3" s="9"/>
    </row>
    <row r="4" spans="1:22" ht="25.5">
      <c r="A4" s="1326" t="s">
        <v>22</v>
      </c>
      <c r="B4" s="1327"/>
      <c r="C4" s="667" t="s">
        <v>850</v>
      </c>
      <c r="D4" s="667" t="s">
        <v>1326</v>
      </c>
      <c r="E4" s="667" t="s">
        <v>1327</v>
      </c>
      <c r="F4" s="667" t="s">
        <v>8</v>
      </c>
      <c r="G4" s="668" t="s">
        <v>1328</v>
      </c>
      <c r="H4" s="353"/>
      <c r="I4" s="1326" t="s">
        <v>22</v>
      </c>
      <c r="J4" s="1326"/>
      <c r="K4" s="1326"/>
      <c r="L4" s="667" t="s">
        <v>1327</v>
      </c>
      <c r="M4" s="667" t="s">
        <v>8</v>
      </c>
      <c r="N4" s="668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8" t="s">
        <v>697</v>
      </c>
      <c r="B5" s="1329"/>
      <c r="C5" s="1330">
        <f>SUMPRODUCT(C16:Q16,$C$22:$Q$22)</f>
        <v>0</v>
      </c>
      <c r="D5" s="672">
        <f>SUMPRODUCT(C28:Q28,$C$34:$Q$34)</f>
        <v>0</v>
      </c>
      <c r="E5" s="1331">
        <f>C5-D5</f>
        <v>0</v>
      </c>
      <c r="F5" s="1332">
        <f>Resultado!M9</f>
        <v>0</v>
      </c>
      <c r="G5" s="669">
        <f>F5+E5</f>
        <v>0</v>
      </c>
      <c r="H5" s="353"/>
      <c r="I5" s="1328" t="s">
        <v>697</v>
      </c>
      <c r="J5" s="1328"/>
      <c r="K5" s="1328"/>
      <c r="L5" s="1332">
        <f t="shared" ref="L5:N10" si="0">E5/12</f>
        <v>0</v>
      </c>
      <c r="M5" s="1332">
        <f t="shared" si="0"/>
        <v>0</v>
      </c>
      <c r="N5" s="1330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0"/>
      <c r="C6" s="671">
        <f t="shared" ref="C6:C10" si="1">SUMPRODUCT(C17:Q17,$C$22:$Q$22)</f>
        <v>0</v>
      </c>
      <c r="D6" s="672">
        <f t="shared" ref="D6:D10" si="2">SUMPRODUCT(C29:Q29,$C$34:$Q$34)</f>
        <v>0</v>
      </c>
      <c r="E6" s="690">
        <f t="shared" ref="E6:E10" si="3">C6-D6</f>
        <v>0</v>
      </c>
      <c r="F6" s="672">
        <f>Resultado!M10</f>
        <v>0</v>
      </c>
      <c r="G6" s="669">
        <f t="shared" ref="G6:G10" si="4">F6+E6</f>
        <v>0</v>
      </c>
      <c r="H6" s="353"/>
      <c r="I6" s="65" t="s">
        <v>699</v>
      </c>
      <c r="J6" s="65"/>
      <c r="K6" s="65"/>
      <c r="L6" s="672">
        <f t="shared" si="0"/>
        <v>0</v>
      </c>
      <c r="M6" s="672">
        <f t="shared" si="0"/>
        <v>0</v>
      </c>
      <c r="N6" s="671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0"/>
      <c r="C7" s="671">
        <f t="shared" si="1"/>
        <v>0</v>
      </c>
      <c r="D7" s="672">
        <f t="shared" si="2"/>
        <v>0</v>
      </c>
      <c r="E7" s="690">
        <f t="shared" si="3"/>
        <v>0</v>
      </c>
      <c r="F7" s="672">
        <f>-Financeiros!D34+Resultado!M11</f>
        <v>0</v>
      </c>
      <c r="G7" s="669">
        <f t="shared" si="4"/>
        <v>0</v>
      </c>
      <c r="H7" s="353"/>
      <c r="I7" s="65" t="s">
        <v>701</v>
      </c>
      <c r="J7" s="65"/>
      <c r="K7" s="65"/>
      <c r="L7" s="672">
        <f t="shared" si="0"/>
        <v>0</v>
      </c>
      <c r="M7" s="672">
        <f t="shared" si="0"/>
        <v>0</v>
      </c>
      <c r="N7" s="671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0"/>
      <c r="C8" s="671">
        <f t="shared" si="1"/>
        <v>0</v>
      </c>
      <c r="D8" s="672">
        <f t="shared" si="2"/>
        <v>0</v>
      </c>
      <c r="E8" s="690">
        <f t="shared" si="3"/>
        <v>0</v>
      </c>
      <c r="F8" s="672">
        <f>Resultado!M12</f>
        <v>0</v>
      </c>
      <c r="G8" s="669">
        <f t="shared" si="4"/>
        <v>0</v>
      </c>
      <c r="H8" s="353"/>
      <c r="I8" s="65" t="s">
        <v>702</v>
      </c>
      <c r="J8" s="65"/>
      <c r="K8" s="65"/>
      <c r="L8" s="672">
        <f t="shared" si="0"/>
        <v>0</v>
      </c>
      <c r="M8" s="672">
        <f t="shared" si="0"/>
        <v>0</v>
      </c>
      <c r="N8" s="671">
        <f t="shared" si="0"/>
        <v>0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0"/>
      <c r="C9" s="671">
        <f t="shared" si="1"/>
        <v>49070.566024496147</v>
      </c>
      <c r="D9" s="672">
        <f t="shared" si="2"/>
        <v>51927.546729633701</v>
      </c>
      <c r="E9" s="690">
        <f>C9-D9</f>
        <v>-2856.9807051375537</v>
      </c>
      <c r="F9" s="672">
        <f>Resultado!M13</f>
        <v>26693.112891671346</v>
      </c>
      <c r="G9" s="669">
        <f t="shared" si="4"/>
        <v>23836.132186533792</v>
      </c>
      <c r="H9" s="353"/>
      <c r="I9" s="65" t="s">
        <v>705</v>
      </c>
      <c r="J9" s="65"/>
      <c r="K9" s="65"/>
      <c r="L9" s="672">
        <f t="shared" si="0"/>
        <v>-238.08172542812949</v>
      </c>
      <c r="M9" s="672">
        <f t="shared" si="0"/>
        <v>2224.4260743059453</v>
      </c>
      <c r="N9" s="671">
        <f t="shared" si="0"/>
        <v>1986.3443488778159</v>
      </c>
      <c r="P9" s="353"/>
      <c r="Q9" s="353"/>
      <c r="R9" s="9"/>
      <c r="S9" s="9"/>
      <c r="T9" s="9"/>
      <c r="U9" s="9"/>
      <c r="V9" s="9"/>
    </row>
    <row r="10" spans="1:22">
      <c r="A10" s="1066" t="s">
        <v>707</v>
      </c>
      <c r="B10" s="673"/>
      <c r="C10" s="671">
        <f t="shared" si="1"/>
        <v>909.00118860821999</v>
      </c>
      <c r="D10" s="672">
        <f t="shared" si="2"/>
        <v>1546.5843285475023</v>
      </c>
      <c r="E10" s="1333">
        <f t="shared" si="3"/>
        <v>-637.58313993928232</v>
      </c>
      <c r="F10" s="1334">
        <f>Resultado!M14</f>
        <v>934.723026263154</v>
      </c>
      <c r="G10" s="669">
        <f t="shared" si="4"/>
        <v>297.13988632387168</v>
      </c>
      <c r="H10" s="353"/>
      <c r="I10" s="1066" t="s">
        <v>707</v>
      </c>
      <c r="J10" s="1066"/>
      <c r="K10" s="1066"/>
      <c r="L10" s="1334">
        <f t="shared" si="0"/>
        <v>-53.131928328273524</v>
      </c>
      <c r="M10" s="1334">
        <f t="shared" si="0"/>
        <v>77.893585521929495</v>
      </c>
      <c r="N10" s="674">
        <f t="shared" si="0"/>
        <v>24.761657193655974</v>
      </c>
      <c r="P10" s="353"/>
      <c r="Q10" s="353"/>
      <c r="R10" s="9"/>
      <c r="S10" s="9"/>
      <c r="T10" s="9"/>
      <c r="U10" s="9"/>
      <c r="V10" s="9"/>
    </row>
    <row r="11" spans="1:22">
      <c r="A11" s="1335" t="s">
        <v>769</v>
      </c>
      <c r="B11" s="1335"/>
      <c r="C11" s="1336">
        <f>SUM(C5:C10)</f>
        <v>49979.567213104368</v>
      </c>
      <c r="D11" s="1336">
        <f>SUM(D5:D10)</f>
        <v>53474.131058181207</v>
      </c>
      <c r="E11" s="1336">
        <f t="shared" ref="E11" si="5">SUM(E5:E10)</f>
        <v>-3494.5638450768361</v>
      </c>
      <c r="F11" s="1336">
        <f>SUM(F5:F10)</f>
        <v>27627.835917934499</v>
      </c>
      <c r="G11" s="1337">
        <f>SUM(G5:G10)</f>
        <v>24133.272072857664</v>
      </c>
      <c r="H11" s="353"/>
      <c r="I11" s="1335" t="s">
        <v>769</v>
      </c>
      <c r="J11" s="1335"/>
      <c r="K11" s="1335"/>
      <c r="L11" s="1336">
        <f>SUM(L5:L10)</f>
        <v>-291.213653756403</v>
      </c>
      <c r="M11" s="1336">
        <f>SUM(M5:M10)</f>
        <v>2302.3196598278751</v>
      </c>
      <c r="N11" s="1337">
        <f>SUM(N5:N10)</f>
        <v>2011.1060060714719</v>
      </c>
      <c r="P11" s="353"/>
      <c r="Q11" s="353"/>
      <c r="R11" s="9"/>
      <c r="S11" s="9"/>
      <c r="T11" s="9"/>
      <c r="U11" s="9"/>
      <c r="V11" s="9"/>
    </row>
    <row r="12" spans="1:22">
      <c r="A12" s="663"/>
      <c r="B12" s="663"/>
      <c r="C12" s="663"/>
      <c r="D12" s="663"/>
      <c r="E12" s="663"/>
      <c r="F12" s="663"/>
      <c r="G12" s="663"/>
      <c r="H12" s="663"/>
      <c r="I12" s="9"/>
      <c r="J12" s="663"/>
      <c r="K12" s="663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5" t="s">
        <v>1329</v>
      </c>
      <c r="B13" s="663"/>
      <c r="C13" s="353"/>
      <c r="D13" s="353"/>
      <c r="E13" s="353"/>
      <c r="F13" s="663"/>
      <c r="G13" s="663"/>
      <c r="H13" s="663"/>
      <c r="I13" s="663"/>
      <c r="J13" s="663"/>
      <c r="K13" s="663"/>
      <c r="L13" s="663"/>
      <c r="M13" s="663"/>
      <c r="N13" s="663"/>
      <c r="O13" s="353"/>
      <c r="P13" s="353"/>
      <c r="Q13" s="353"/>
      <c r="R13" s="9"/>
      <c r="S13" s="9"/>
      <c r="T13" s="9"/>
      <c r="U13" s="9"/>
      <c r="V13" s="9"/>
    </row>
    <row r="14" spans="1:22">
      <c r="A14" s="1846" t="s">
        <v>22</v>
      </c>
      <c r="B14" s="1847" t="s">
        <v>1330</v>
      </c>
      <c r="C14" s="353"/>
      <c r="D14" s="353"/>
      <c r="E14" s="353"/>
      <c r="F14" s="675" t="s">
        <v>874</v>
      </c>
      <c r="G14" s="675" t="s">
        <v>874</v>
      </c>
      <c r="H14" s="675" t="s">
        <v>874</v>
      </c>
      <c r="I14" s="675" t="s">
        <v>874</v>
      </c>
      <c r="J14" s="675" t="s">
        <v>874</v>
      </c>
      <c r="K14" s="675" t="s">
        <v>874</v>
      </c>
      <c r="L14" s="675" t="s">
        <v>874</v>
      </c>
      <c r="M14" s="675" t="s">
        <v>874</v>
      </c>
      <c r="N14" s="675" t="s">
        <v>874</v>
      </c>
      <c r="O14" s="675" t="s">
        <v>874</v>
      </c>
      <c r="P14" s="675" t="s">
        <v>874</v>
      </c>
      <c r="Q14" s="675" t="s">
        <v>874</v>
      </c>
      <c r="R14" s="9"/>
      <c r="S14" s="9"/>
      <c r="T14" s="9"/>
      <c r="U14" s="9"/>
      <c r="V14" s="9"/>
    </row>
    <row r="15" spans="1:22">
      <c r="A15" s="1846"/>
      <c r="B15" s="1847"/>
      <c r="C15" s="676">
        <f t="shared" ref="C15:P15" si="6">EDATE(D15,-1)</f>
        <v>44348</v>
      </c>
      <c r="D15" s="676">
        <f>EDATE(E15,-1)</f>
        <v>44378</v>
      </c>
      <c r="E15" s="676">
        <f>EDATE(F15,-1)</f>
        <v>44409</v>
      </c>
      <c r="F15" s="677">
        <f>EDATE(G15,-1)</f>
        <v>44440</v>
      </c>
      <c r="G15" s="677">
        <f t="shared" si="6"/>
        <v>44470</v>
      </c>
      <c r="H15" s="677">
        <f t="shared" si="6"/>
        <v>44501</v>
      </c>
      <c r="I15" s="677">
        <f t="shared" si="6"/>
        <v>44531</v>
      </c>
      <c r="J15" s="677">
        <f t="shared" si="6"/>
        <v>44562</v>
      </c>
      <c r="K15" s="677">
        <f t="shared" si="6"/>
        <v>44593</v>
      </c>
      <c r="L15" s="677">
        <f t="shared" si="6"/>
        <v>44621</v>
      </c>
      <c r="M15" s="677">
        <f t="shared" si="6"/>
        <v>44652</v>
      </c>
      <c r="N15" s="677">
        <f t="shared" si="6"/>
        <v>44682</v>
      </c>
      <c r="O15" s="677">
        <f t="shared" si="6"/>
        <v>44713</v>
      </c>
      <c r="P15" s="677">
        <f t="shared" si="6"/>
        <v>44743</v>
      </c>
      <c r="Q15" s="677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8" t="s">
        <v>1331</v>
      </c>
      <c r="B16" s="679" t="s">
        <v>926</v>
      </c>
      <c r="C16" s="680">
        <f>C40</f>
        <v>0</v>
      </c>
      <c r="D16" s="680">
        <f t="shared" ref="D16:E16" si="7">D40</f>
        <v>0</v>
      </c>
      <c r="E16" s="680">
        <f t="shared" si="7"/>
        <v>0</v>
      </c>
      <c r="F16" s="680">
        <f t="shared" ref="F16:Q21" si="8">DSUM(MercadoBase,$B16,F$14:F$15)</f>
        <v>0</v>
      </c>
      <c r="G16" s="680">
        <f t="shared" si="8"/>
        <v>0</v>
      </c>
      <c r="H16" s="680">
        <f t="shared" si="8"/>
        <v>0</v>
      </c>
      <c r="I16" s="680">
        <f t="shared" si="8"/>
        <v>0</v>
      </c>
      <c r="J16" s="680">
        <f t="shared" si="8"/>
        <v>0</v>
      </c>
      <c r="K16" s="680">
        <f t="shared" si="8"/>
        <v>0</v>
      </c>
      <c r="L16" s="680">
        <f t="shared" si="8"/>
        <v>0</v>
      </c>
      <c r="M16" s="680">
        <f t="shared" si="8"/>
        <v>0</v>
      </c>
      <c r="N16" s="680">
        <f t="shared" si="8"/>
        <v>0</v>
      </c>
      <c r="O16" s="680">
        <f t="shared" si="8"/>
        <v>0</v>
      </c>
      <c r="P16" s="680">
        <f t="shared" si="8"/>
        <v>0</v>
      </c>
      <c r="Q16" s="680">
        <f t="shared" si="8"/>
        <v>0</v>
      </c>
      <c r="R16" s="9"/>
      <c r="S16" s="9"/>
      <c r="T16" s="9"/>
      <c r="U16" s="9"/>
      <c r="V16" s="9"/>
    </row>
    <row r="17" spans="1:22">
      <c r="A17" s="678" t="s">
        <v>1332</v>
      </c>
      <c r="B17" s="679" t="s">
        <v>927</v>
      </c>
      <c r="C17" s="680">
        <f t="shared" ref="C17:E21" si="9">C41</f>
        <v>0</v>
      </c>
      <c r="D17" s="680">
        <f t="shared" si="9"/>
        <v>0</v>
      </c>
      <c r="E17" s="680">
        <f t="shared" si="9"/>
        <v>0</v>
      </c>
      <c r="F17" s="680">
        <f t="shared" si="8"/>
        <v>0</v>
      </c>
      <c r="G17" s="680">
        <f t="shared" si="8"/>
        <v>0</v>
      </c>
      <c r="H17" s="680">
        <f t="shared" si="8"/>
        <v>0</v>
      </c>
      <c r="I17" s="680">
        <f t="shared" si="8"/>
        <v>0</v>
      </c>
      <c r="J17" s="680">
        <f t="shared" si="8"/>
        <v>0</v>
      </c>
      <c r="K17" s="680">
        <f t="shared" si="8"/>
        <v>0</v>
      </c>
      <c r="L17" s="680">
        <f t="shared" si="8"/>
        <v>0</v>
      </c>
      <c r="M17" s="680">
        <f t="shared" si="8"/>
        <v>0</v>
      </c>
      <c r="N17" s="680">
        <f t="shared" si="8"/>
        <v>0</v>
      </c>
      <c r="O17" s="680">
        <f t="shared" si="8"/>
        <v>0</v>
      </c>
      <c r="P17" s="680">
        <f t="shared" si="8"/>
        <v>0</v>
      </c>
      <c r="Q17" s="680">
        <f t="shared" si="8"/>
        <v>0</v>
      </c>
      <c r="R17" s="9"/>
      <c r="S17" s="9"/>
      <c r="T17" s="9"/>
      <c r="U17" s="9"/>
      <c r="V17" s="9"/>
    </row>
    <row r="18" spans="1:22">
      <c r="A18" s="678" t="s">
        <v>1333</v>
      </c>
      <c r="B18" s="679" t="s">
        <v>928</v>
      </c>
      <c r="C18" s="680">
        <f t="shared" si="9"/>
        <v>0</v>
      </c>
      <c r="D18" s="680">
        <f t="shared" si="9"/>
        <v>0</v>
      </c>
      <c r="E18" s="680">
        <f t="shared" si="9"/>
        <v>0</v>
      </c>
      <c r="F18" s="680">
        <f t="shared" si="8"/>
        <v>0</v>
      </c>
      <c r="G18" s="680">
        <f t="shared" si="8"/>
        <v>0</v>
      </c>
      <c r="H18" s="680">
        <f t="shared" si="8"/>
        <v>0</v>
      </c>
      <c r="I18" s="680">
        <f t="shared" si="8"/>
        <v>0</v>
      </c>
      <c r="J18" s="680">
        <f t="shared" si="8"/>
        <v>0</v>
      </c>
      <c r="K18" s="680">
        <f t="shared" si="8"/>
        <v>0</v>
      </c>
      <c r="L18" s="680">
        <f t="shared" si="8"/>
        <v>0</v>
      </c>
      <c r="M18" s="680">
        <f t="shared" si="8"/>
        <v>0</v>
      </c>
      <c r="N18" s="680">
        <f t="shared" si="8"/>
        <v>0</v>
      </c>
      <c r="O18" s="680">
        <f t="shared" si="8"/>
        <v>0</v>
      </c>
      <c r="P18" s="680">
        <f t="shared" si="8"/>
        <v>0</v>
      </c>
      <c r="Q18" s="680">
        <f t="shared" si="8"/>
        <v>0</v>
      </c>
      <c r="R18" s="9"/>
      <c r="S18" s="9"/>
      <c r="T18" s="9"/>
      <c r="U18" s="9"/>
      <c r="V18" s="9"/>
    </row>
    <row r="19" spans="1:22">
      <c r="A19" s="678" t="s">
        <v>1334</v>
      </c>
      <c r="B19" s="679" t="s">
        <v>929</v>
      </c>
      <c r="C19" s="680">
        <f t="shared" si="9"/>
        <v>0</v>
      </c>
      <c r="D19" s="680">
        <f t="shared" si="9"/>
        <v>0</v>
      </c>
      <c r="E19" s="680">
        <f t="shared" si="9"/>
        <v>0</v>
      </c>
      <c r="F19" s="680">
        <f t="shared" si="8"/>
        <v>0</v>
      </c>
      <c r="G19" s="680">
        <f t="shared" si="8"/>
        <v>0</v>
      </c>
      <c r="H19" s="680">
        <f t="shared" si="8"/>
        <v>0</v>
      </c>
      <c r="I19" s="680">
        <f t="shared" si="8"/>
        <v>0</v>
      </c>
      <c r="J19" s="680">
        <f t="shared" si="8"/>
        <v>0</v>
      </c>
      <c r="K19" s="680">
        <f t="shared" si="8"/>
        <v>0</v>
      </c>
      <c r="L19" s="680">
        <f t="shared" si="8"/>
        <v>0</v>
      </c>
      <c r="M19" s="680">
        <f t="shared" si="8"/>
        <v>0</v>
      </c>
      <c r="N19" s="680">
        <f t="shared" si="8"/>
        <v>0</v>
      </c>
      <c r="O19" s="680">
        <f t="shared" si="8"/>
        <v>0</v>
      </c>
      <c r="P19" s="680">
        <f t="shared" si="8"/>
        <v>0</v>
      </c>
      <c r="Q19" s="680">
        <f t="shared" si="8"/>
        <v>0</v>
      </c>
      <c r="R19" s="9"/>
      <c r="S19" s="9"/>
      <c r="T19" s="9"/>
      <c r="U19" s="9"/>
      <c r="V19" s="9"/>
    </row>
    <row r="20" spans="1:22">
      <c r="A20" s="678" t="s">
        <v>1335</v>
      </c>
      <c r="B20" s="679" t="s">
        <v>930</v>
      </c>
      <c r="C20" s="680">
        <f t="shared" si="9"/>
        <v>0</v>
      </c>
      <c r="D20" s="680">
        <f t="shared" si="9"/>
        <v>0</v>
      </c>
      <c r="E20" s="680">
        <f t="shared" si="9"/>
        <v>0</v>
      </c>
      <c r="F20" s="680">
        <f t="shared" si="8"/>
        <v>4171.4724000000024</v>
      </c>
      <c r="G20" s="680">
        <f t="shared" si="8"/>
        <v>3898.0820000000017</v>
      </c>
      <c r="H20" s="680">
        <f t="shared" si="8"/>
        <v>3727.5816800000021</v>
      </c>
      <c r="I20" s="680">
        <f t="shared" si="8"/>
        <v>4131.9952800000019</v>
      </c>
      <c r="J20" s="680">
        <f t="shared" si="8"/>
        <v>4136.7597600000017</v>
      </c>
      <c r="K20" s="680">
        <f t="shared" si="8"/>
        <v>4606.9685600000021</v>
      </c>
      <c r="L20" s="680">
        <f t="shared" si="8"/>
        <v>3999.1003200000023</v>
      </c>
      <c r="M20" s="680">
        <f t="shared" si="8"/>
        <v>3345.0620000000013</v>
      </c>
      <c r="N20" s="680">
        <f t="shared" si="8"/>
        <v>3447.4416000000015</v>
      </c>
      <c r="O20" s="680">
        <f t="shared" si="8"/>
        <v>3899.7268800000015</v>
      </c>
      <c r="P20" s="680">
        <f t="shared" si="8"/>
        <v>3567.120800000002</v>
      </c>
      <c r="Q20" s="680">
        <f t="shared" si="8"/>
        <v>3966.769920000002</v>
      </c>
      <c r="R20" s="9"/>
      <c r="S20" s="9"/>
      <c r="T20" s="9"/>
      <c r="U20" s="9"/>
      <c r="V20" s="9"/>
    </row>
    <row r="21" spans="1:22">
      <c r="A21" s="678" t="s">
        <v>1336</v>
      </c>
      <c r="B21" s="679" t="s">
        <v>931</v>
      </c>
      <c r="C21" s="680">
        <f t="shared" si="9"/>
        <v>0</v>
      </c>
      <c r="D21" s="680">
        <f t="shared" si="9"/>
        <v>0</v>
      </c>
      <c r="E21" s="680">
        <f t="shared" si="9"/>
        <v>0</v>
      </c>
      <c r="F21" s="680">
        <f t="shared" si="8"/>
        <v>93.09574400000001</v>
      </c>
      <c r="G21" s="680">
        <f t="shared" si="8"/>
        <v>120.96322000000001</v>
      </c>
      <c r="H21" s="680">
        <f t="shared" si="8"/>
        <v>141.17479600000001</v>
      </c>
      <c r="I21" s="680">
        <f t="shared" si="8"/>
        <v>169.65474400000005</v>
      </c>
      <c r="J21" s="680">
        <f t="shared" si="8"/>
        <v>101.05788000000003</v>
      </c>
      <c r="K21" s="680">
        <f t="shared" si="8"/>
        <v>24.498880000000003</v>
      </c>
      <c r="L21" s="680">
        <f t="shared" si="8"/>
        <v>30.929836000000005</v>
      </c>
      <c r="M21" s="680">
        <f t="shared" si="8"/>
        <v>19.90534000000001</v>
      </c>
      <c r="N21" s="680">
        <f t="shared" si="8"/>
        <v>38.891972000000003</v>
      </c>
      <c r="O21" s="680">
        <f t="shared" si="8"/>
        <v>43.179276000000002</v>
      </c>
      <c r="P21" s="680">
        <f>DSUM(MercadoBase,$B21,P$14:P$15)</f>
        <v>32.767252000000006</v>
      </c>
      <c r="Q21" s="680">
        <f t="shared" si="8"/>
        <v>36.442084000000001</v>
      </c>
      <c r="R21" s="9"/>
      <c r="S21" s="9"/>
      <c r="T21" s="9"/>
      <c r="U21" s="9"/>
      <c r="V21" s="9"/>
    </row>
    <row r="22" spans="1:22">
      <c r="A22" s="1338" t="s">
        <v>1337</v>
      </c>
      <c r="B22" s="1339" t="s">
        <v>1194</v>
      </c>
      <c r="C22" s="1340">
        <f>VLOOKUP($Q$15,Índices!$B:$F,2,FALSE)/VLOOKUP(EDATE(C15,-1),Índices!$B:$F,2,FALSE)</f>
        <v>1.1082167683385875</v>
      </c>
      <c r="D22" s="1340">
        <f>VLOOKUP($Q$15,Índices!$B:$F,2,FALSE)/VLOOKUP(EDATE(D15,-1),Índices!$B:$F,2,FALSE)</f>
        <v>1.1015781797155986</v>
      </c>
      <c r="E22" s="1340">
        <f>VLOOKUP($Q$15,Índices!$B:$F,2,FALSE)/VLOOKUP(EDATE(E15,-1),Índices!$B:$F,2,FALSE)</f>
        <v>1.0930813258985603</v>
      </c>
      <c r="F22" s="1340">
        <f>VLOOKUP($Q$15,Índices!$B:$F,2,FALSE)/VLOOKUP(EDATE(F15,-1),Índices!$B:$F,2,FALSE)</f>
        <v>1.0858745154816776</v>
      </c>
      <c r="G22" s="1340">
        <f>VLOOKUP($Q$15,Índices!$B:$F,2,FALSE)/VLOOKUP(EDATE(G15,-1),Índices!$B:$F,2,FALSE)</f>
        <v>1.0928625709205468</v>
      </c>
      <c r="H22" s="1340">
        <f>VLOOKUP($Q$15,Índices!$B:$F,2,FALSE)/VLOOKUP(EDATE(H15,-1),Índices!$B:$F,2,FALSE)</f>
        <v>1.0858814807891262</v>
      </c>
      <c r="I22" s="1340">
        <f>VLOOKUP($Q$15,Índices!$B:$F,2,FALSE)/VLOOKUP(EDATE(I15,-1),Índices!$B:$F,2,FALSE)</f>
        <v>1.0856825071943401</v>
      </c>
      <c r="J22" s="1340">
        <f>VLOOKUP($Q$15,Índices!$B:$F,2,FALSE)/VLOOKUP(EDATE(J15,-1),Índices!$B:$F,2,FALSE)</f>
        <v>1.0763096418852884</v>
      </c>
      <c r="K22" s="1340">
        <f>VLOOKUP($Q$15,Índices!$B:$F,2,FALSE)/VLOOKUP(EDATE(K15,-1),Índices!$B:$F,2,FALSE)</f>
        <v>1.0570963934847399</v>
      </c>
      <c r="L22" s="1340">
        <f>VLOOKUP($Q$15,Índices!$B:$F,2,FALSE)/VLOOKUP(EDATE(L15,-1),Índices!$B:$F,2,FALSE)</f>
        <v>1.0380694251480009</v>
      </c>
      <c r="M22" s="1340">
        <f>VLOOKUP($Q$15,Índices!$B:$F,2,FALSE)/VLOOKUP(EDATE(M15,-1),Índices!$B:$F,2,FALSE)</f>
        <v>1.0203079339221537</v>
      </c>
      <c r="N22" s="1340">
        <f>VLOOKUP($Q$15,Índices!$B:$F,2,FALSE)/VLOOKUP(EDATE(N15,-1),Índices!$B:$F,2,FALSE)</f>
        <v>1.0061088003233121</v>
      </c>
      <c r="O22" s="1340">
        <f>VLOOKUP($Q$15,Índices!$B:$F,2,FALSE)/VLOOKUP(EDATE(O15,-1),Índices!$B:$F,2,FALSE)</f>
        <v>1.0008877041571751</v>
      </c>
      <c r="P22" s="1340">
        <f>VLOOKUP($Q$15,Índices!$B:$F,2,FALSE)/VLOOKUP(EDATE(P15,-1),Índices!$B:$F,2,FALSE)</f>
        <v>0.99506416252827723</v>
      </c>
      <c r="Q22" s="1340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1" t="s">
        <v>1338</v>
      </c>
      <c r="B23" s="1342"/>
      <c r="C23" s="1343">
        <f t="shared" ref="C23:Q23" si="10">SUM(C16:C21)*C22</f>
        <v>0</v>
      </c>
      <c r="D23" s="1343">
        <f t="shared" si="10"/>
        <v>0</v>
      </c>
      <c r="E23" s="1343">
        <f t="shared" si="10"/>
        <v>0</v>
      </c>
      <c r="F23" s="1344">
        <f>SUM(F16:F21)*F22</f>
        <v>4630.7858671045997</v>
      </c>
      <c r="G23" s="1344">
        <f t="shared" si="10"/>
        <v>4392.2640917751369</v>
      </c>
      <c r="H23" s="1344">
        <f t="shared" si="10"/>
        <v>4201.0110109714042</v>
      </c>
      <c r="I23" s="1344">
        <f t="shared" si="10"/>
        <v>4670.2261831289161</v>
      </c>
      <c r="J23" s="1344">
        <f t="shared" si="10"/>
        <v>4561.2039864835606</v>
      </c>
      <c r="K23" s="1344">
        <f t="shared" si="10"/>
        <v>4895.9075273660037</v>
      </c>
      <c r="L23" s="1344">
        <f t="shared" si="10"/>
        <v>4183.451087368031</v>
      </c>
      <c r="M23" s="1344">
        <f t="shared" si="10"/>
        <v>3433.3028743909263</v>
      </c>
      <c r="N23" s="1344">
        <f t="shared" si="10"/>
        <v>3507.6308876518087</v>
      </c>
      <c r="O23" s="1344">
        <f t="shared" si="10"/>
        <v>3946.4062901860339</v>
      </c>
      <c r="P23" s="1344">
        <f t="shared" si="10"/>
        <v>3582.1195896589334</v>
      </c>
      <c r="Q23" s="1344">
        <f t="shared" si="10"/>
        <v>3975.2578170190131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5" t="s">
        <v>1340</v>
      </c>
      <c r="B25" s="663"/>
      <c r="C25" s="663"/>
      <c r="D25" s="663"/>
      <c r="E25" s="663"/>
      <c r="F25" s="663"/>
      <c r="G25" s="663"/>
      <c r="H25" s="663"/>
      <c r="I25" s="663"/>
      <c r="J25" s="663"/>
      <c r="K25" s="663"/>
      <c r="L25" s="663"/>
      <c r="M25" s="663"/>
      <c r="N25" s="663"/>
      <c r="O25" s="353"/>
      <c r="P25" s="353"/>
      <c r="Q25" s="353"/>
      <c r="R25" s="9"/>
      <c r="S25" s="9"/>
      <c r="T25" s="9"/>
      <c r="U25" s="9"/>
      <c r="V25" s="9"/>
    </row>
    <row r="26" spans="1:22">
      <c r="A26" s="1846" t="s">
        <v>22</v>
      </c>
      <c r="B26" s="1847" t="s">
        <v>1330</v>
      </c>
      <c r="C26" s="675" t="s">
        <v>874</v>
      </c>
      <c r="D26" s="675" t="s">
        <v>874</v>
      </c>
      <c r="E26" s="675" t="s">
        <v>874</v>
      </c>
      <c r="F26" s="675" t="s">
        <v>874</v>
      </c>
      <c r="G26" s="675" t="s">
        <v>874</v>
      </c>
      <c r="H26" s="675" t="s">
        <v>874</v>
      </c>
      <c r="I26" s="675" t="s">
        <v>874</v>
      </c>
      <c r="J26" s="675" t="s">
        <v>874</v>
      </c>
      <c r="K26" s="675" t="s">
        <v>874</v>
      </c>
      <c r="L26" s="675" t="s">
        <v>874</v>
      </c>
      <c r="M26" s="675" t="s">
        <v>874</v>
      </c>
      <c r="N26" s="675" t="s">
        <v>874</v>
      </c>
      <c r="O26" s="675" t="s">
        <v>874</v>
      </c>
      <c r="P26" s="675" t="s">
        <v>874</v>
      </c>
      <c r="Q26" s="675" t="s">
        <v>874</v>
      </c>
      <c r="R26" s="9"/>
      <c r="S26" s="9"/>
      <c r="T26" s="9"/>
      <c r="U26" s="9"/>
      <c r="V26" s="9"/>
    </row>
    <row r="27" spans="1:22">
      <c r="A27" s="1846"/>
      <c r="B27" s="1847"/>
      <c r="C27" s="676">
        <f t="shared" ref="C27:Q27" si="11">C15</f>
        <v>44348</v>
      </c>
      <c r="D27" s="676">
        <f t="shared" si="11"/>
        <v>44378</v>
      </c>
      <c r="E27" s="676">
        <f t="shared" si="11"/>
        <v>44409</v>
      </c>
      <c r="F27" s="677">
        <f>F15</f>
        <v>44440</v>
      </c>
      <c r="G27" s="677">
        <f t="shared" si="11"/>
        <v>44470</v>
      </c>
      <c r="H27" s="677">
        <f t="shared" si="11"/>
        <v>44501</v>
      </c>
      <c r="I27" s="677">
        <f t="shared" si="11"/>
        <v>44531</v>
      </c>
      <c r="J27" s="677">
        <f t="shared" si="11"/>
        <v>44562</v>
      </c>
      <c r="K27" s="677">
        <f t="shared" si="11"/>
        <v>44593</v>
      </c>
      <c r="L27" s="677">
        <f t="shared" si="11"/>
        <v>44621</v>
      </c>
      <c r="M27" s="677">
        <f t="shared" si="11"/>
        <v>44652</v>
      </c>
      <c r="N27" s="677">
        <f t="shared" si="11"/>
        <v>44682</v>
      </c>
      <c r="O27" s="677">
        <f t="shared" si="11"/>
        <v>44713</v>
      </c>
      <c r="P27" s="677">
        <f t="shared" si="11"/>
        <v>44743</v>
      </c>
      <c r="Q27" s="677">
        <f t="shared" si="11"/>
        <v>44774</v>
      </c>
      <c r="S27" s="9"/>
      <c r="T27" s="9"/>
      <c r="U27" s="9"/>
      <c r="V27" s="9"/>
    </row>
    <row r="28" spans="1:22">
      <c r="A28" s="678" t="s">
        <v>1331</v>
      </c>
      <c r="B28" s="679" t="s">
        <v>697</v>
      </c>
      <c r="C28" s="680">
        <f>IF(C40=0,0,VLOOKUP($B28,BD!$B$61:$C$66,2,FALSE))</f>
        <v>0</v>
      </c>
      <c r="D28" s="680">
        <f>IF(D40=0,0,VLOOKUP($B28,BD!$B$61:$C$66,2,FALSE))</f>
        <v>0</v>
      </c>
      <c r="E28" s="680">
        <f>IF(E40=0,0,VLOOKUP($B28,BD!$B$61:$C$66,2,FALSE))</f>
        <v>0</v>
      </c>
      <c r="F28" s="680">
        <f>VLOOKUP($B28,BD!$B$61:$C$66,2,FALSE)</f>
        <v>0</v>
      </c>
      <c r="G28" s="680">
        <f>VLOOKUP($B28,BD!$B$61:$C$66,2,FALSE)</f>
        <v>0</v>
      </c>
      <c r="H28" s="680">
        <f>VLOOKUP($B28,BD!$B$61:$C$66,2,FALSE)</f>
        <v>0</v>
      </c>
      <c r="I28" s="680">
        <f>VLOOKUP($B28,BD!$B$61:$C$66,2,FALSE)</f>
        <v>0</v>
      </c>
      <c r="J28" s="680">
        <f>VLOOKUP($B28,BD!$B$61:$C$66,2,FALSE)</f>
        <v>0</v>
      </c>
      <c r="K28" s="680">
        <f>VLOOKUP($B28,BD!$B$61:$C$66,2,FALSE)</f>
        <v>0</v>
      </c>
      <c r="L28" s="680">
        <f>VLOOKUP($B28,BD!$B$61:$C$66,2,FALSE)</f>
        <v>0</v>
      </c>
      <c r="M28" s="680">
        <f>VLOOKUP($B28,BD!$B$61:$C$66,2,FALSE)</f>
        <v>0</v>
      </c>
      <c r="N28" s="680">
        <f>VLOOKUP($B28,BD!$B$61:$C$66,2,FALSE)</f>
        <v>0</v>
      </c>
      <c r="O28" s="680">
        <f>VLOOKUP($B28,BD!$B$61:$C$66,2,FALSE)</f>
        <v>0</v>
      </c>
      <c r="P28" s="680">
        <f>VLOOKUP($B28,BD!$B$61:$C$66,2,FALSE)</f>
        <v>0</v>
      </c>
      <c r="Q28" s="680">
        <f>VLOOKUP($B28,BD!$B$61:$C$66,2,FALSE)</f>
        <v>0</v>
      </c>
      <c r="S28" s="9"/>
      <c r="T28" s="9"/>
      <c r="U28" s="9"/>
      <c r="V28" s="9"/>
    </row>
    <row r="29" spans="1:22">
      <c r="A29" s="678" t="s">
        <v>1332</v>
      </c>
      <c r="B29" s="679" t="s">
        <v>699</v>
      </c>
      <c r="C29" s="680">
        <f>IF(C41=0,0,VLOOKUP($B29,BD!$B$61:$C$66,2,FALSE))</f>
        <v>0</v>
      </c>
      <c r="D29" s="680">
        <f>IF(D41=0,0,VLOOKUP($B29,BD!$B$61:$C$66,2,FALSE))</f>
        <v>0</v>
      </c>
      <c r="E29" s="680">
        <f>IF(E41=0,0,VLOOKUP($B29,BD!$B$61:$C$66,2,FALSE))</f>
        <v>0</v>
      </c>
      <c r="F29" s="680">
        <f>VLOOKUP($B29,BD!$B$61:$C$66,2,FALSE)</f>
        <v>0</v>
      </c>
      <c r="G29" s="680">
        <f>VLOOKUP($B29,BD!$B$61:$C$66,2,FALSE)</f>
        <v>0</v>
      </c>
      <c r="H29" s="680">
        <f>VLOOKUP($B29,BD!$B$61:$C$66,2,FALSE)</f>
        <v>0</v>
      </c>
      <c r="I29" s="680">
        <f>VLOOKUP($B29,BD!$B$61:$C$66,2,FALSE)</f>
        <v>0</v>
      </c>
      <c r="J29" s="680">
        <f>VLOOKUP($B29,BD!$B$61:$C$66,2,FALSE)</f>
        <v>0</v>
      </c>
      <c r="K29" s="680">
        <f>VLOOKUP($B29,BD!$B$61:$C$66,2,FALSE)</f>
        <v>0</v>
      </c>
      <c r="L29" s="680">
        <f>VLOOKUP($B29,BD!$B$61:$C$66,2,FALSE)</f>
        <v>0</v>
      </c>
      <c r="M29" s="680">
        <f>VLOOKUP($B29,BD!$B$61:$C$66,2,FALSE)</f>
        <v>0</v>
      </c>
      <c r="N29" s="680">
        <f>VLOOKUP($B29,BD!$B$61:$C$66,2,FALSE)</f>
        <v>0</v>
      </c>
      <c r="O29" s="680">
        <f>VLOOKUP($B29,BD!$B$61:$C$66,2,FALSE)</f>
        <v>0</v>
      </c>
      <c r="P29" s="680">
        <f>VLOOKUP($B29,BD!$B$61:$C$66,2,FALSE)</f>
        <v>0</v>
      </c>
      <c r="Q29" s="680">
        <f>VLOOKUP($B29,BD!$B$61:$C$66,2,FALSE)</f>
        <v>0</v>
      </c>
      <c r="S29" s="9"/>
      <c r="T29" s="9"/>
      <c r="U29" s="9"/>
      <c r="V29" s="9"/>
    </row>
    <row r="30" spans="1:22">
      <c r="A30" s="678" t="s">
        <v>1333</v>
      </c>
      <c r="B30" s="679" t="s">
        <v>701</v>
      </c>
      <c r="C30" s="680">
        <f>IF(C42=0,0,VLOOKUP($B30,BD!$B$61:$C$66,2,FALSE))</f>
        <v>0</v>
      </c>
      <c r="D30" s="680">
        <f>IF(D42=0,0,VLOOKUP($B30,BD!$B$61:$C$66,2,FALSE))</f>
        <v>0</v>
      </c>
      <c r="E30" s="680">
        <f>IF(E42=0,0,VLOOKUP($B30,BD!$B$61:$C$66,2,FALSE))</f>
        <v>0</v>
      </c>
      <c r="F30" s="680">
        <f>VLOOKUP($B30,BD!$B$61:$C$66,2,FALSE)</f>
        <v>0</v>
      </c>
      <c r="G30" s="680">
        <f>VLOOKUP($B30,BD!$B$61:$C$66,2,FALSE)</f>
        <v>0</v>
      </c>
      <c r="H30" s="680">
        <f>VLOOKUP($B30,BD!$B$61:$C$66,2,FALSE)</f>
        <v>0</v>
      </c>
      <c r="I30" s="680">
        <f>VLOOKUP($B30,BD!$B$61:$C$66,2,FALSE)</f>
        <v>0</v>
      </c>
      <c r="J30" s="680">
        <f>VLOOKUP($B30,BD!$B$61:$C$66,2,FALSE)</f>
        <v>0</v>
      </c>
      <c r="K30" s="680">
        <f>VLOOKUP($B30,BD!$B$61:$C$66,2,FALSE)</f>
        <v>0</v>
      </c>
      <c r="L30" s="680">
        <f>VLOOKUP($B30,BD!$B$61:$C$66,2,FALSE)</f>
        <v>0</v>
      </c>
      <c r="M30" s="680">
        <f>VLOOKUP($B30,BD!$B$61:$C$66,2,FALSE)</f>
        <v>0</v>
      </c>
      <c r="N30" s="680">
        <f>VLOOKUP($B30,BD!$B$61:$C$66,2,FALSE)</f>
        <v>0</v>
      </c>
      <c r="O30" s="680">
        <f>VLOOKUP($B30,BD!$B$61:$C$66,2,FALSE)</f>
        <v>0</v>
      </c>
      <c r="P30" s="680">
        <f>VLOOKUP($B30,BD!$B$61:$C$66,2,FALSE)</f>
        <v>0</v>
      </c>
      <c r="Q30" s="680">
        <f>VLOOKUP($B30,BD!$B$61:$C$66,2,FALSE)</f>
        <v>0</v>
      </c>
      <c r="S30" s="9"/>
      <c r="T30" s="9"/>
      <c r="U30" s="9"/>
      <c r="V30" s="9"/>
    </row>
    <row r="31" spans="1:22">
      <c r="A31" s="678" t="s">
        <v>1334</v>
      </c>
      <c r="B31" s="679" t="s">
        <v>702</v>
      </c>
      <c r="C31" s="680">
        <f>IF(C43=0,0,VLOOKUP($B31,BD!$B$61:$C$66,2,FALSE))</f>
        <v>0</v>
      </c>
      <c r="D31" s="680">
        <f>IF(D43=0,0,VLOOKUP($B31,BD!$B$61:$C$66,2,FALSE))</f>
        <v>0</v>
      </c>
      <c r="E31" s="680">
        <f>IF(E43=0,0,VLOOKUP($B31,BD!$B$61:$C$66,2,FALSE))</f>
        <v>0</v>
      </c>
      <c r="F31" s="680">
        <f>VLOOKUP($B31,BD!$B$61:$C$66,2,FALSE)</f>
        <v>0</v>
      </c>
      <c r="G31" s="680">
        <f>VLOOKUP($B31,BD!$B$61:$C$66,2,FALSE)</f>
        <v>0</v>
      </c>
      <c r="H31" s="680">
        <f>VLOOKUP($B31,BD!$B$61:$C$66,2,FALSE)</f>
        <v>0</v>
      </c>
      <c r="I31" s="680">
        <f>VLOOKUP($B31,BD!$B$61:$C$66,2,FALSE)</f>
        <v>0</v>
      </c>
      <c r="J31" s="680">
        <f>VLOOKUP($B31,BD!$B$61:$C$66,2,FALSE)</f>
        <v>0</v>
      </c>
      <c r="K31" s="680">
        <f>VLOOKUP($B31,BD!$B$61:$C$66,2,FALSE)</f>
        <v>0</v>
      </c>
      <c r="L31" s="680">
        <f>VLOOKUP($B31,BD!$B$61:$C$66,2,FALSE)</f>
        <v>0</v>
      </c>
      <c r="M31" s="680">
        <f>VLOOKUP($B31,BD!$B$61:$C$66,2,FALSE)</f>
        <v>0</v>
      </c>
      <c r="N31" s="680">
        <f>VLOOKUP($B31,BD!$B$61:$C$66,2,FALSE)</f>
        <v>0</v>
      </c>
      <c r="O31" s="680">
        <f>VLOOKUP($B31,BD!$B$61:$C$66,2,FALSE)</f>
        <v>0</v>
      </c>
      <c r="P31" s="680">
        <f>VLOOKUP($B31,BD!$B$61:$C$66,2,FALSE)</f>
        <v>0</v>
      </c>
      <c r="Q31" s="680">
        <f>VLOOKUP($B31,BD!$B$61:$C$66,2,FALSE)</f>
        <v>0</v>
      </c>
      <c r="S31" s="9"/>
      <c r="T31" s="9"/>
      <c r="U31" s="9"/>
      <c r="V31" s="9"/>
    </row>
    <row r="32" spans="1:22">
      <c r="A32" s="678" t="s">
        <v>1335</v>
      </c>
      <c r="B32" s="679" t="s">
        <v>705</v>
      </c>
      <c r="C32" s="680">
        <f>IF(C44=0,0,VLOOKUP($B32,BD!$B$61:$C$66,2,FALSE))</f>
        <v>0</v>
      </c>
      <c r="D32" s="680">
        <f>IF(D44=0,0,VLOOKUP($B32,BD!$B$61:$C$66,2,FALSE))</f>
        <v>0</v>
      </c>
      <c r="E32" s="680">
        <f>IF(E44=0,0,VLOOKUP($B32,BD!$B$61:$C$66,2,FALSE))</f>
        <v>0</v>
      </c>
      <c r="F32" s="680">
        <f>VLOOKUP($B32,BD!$B$61:$C$66,2,FALSE)</f>
        <v>4141.8900000000003</v>
      </c>
      <c r="G32" s="680">
        <f>VLOOKUP($B32,BD!$B$61:$C$66,2,FALSE)</f>
        <v>4141.8900000000003</v>
      </c>
      <c r="H32" s="680">
        <f>VLOOKUP($B32,BD!$B$61:$C$66,2,FALSE)</f>
        <v>4141.8900000000003</v>
      </c>
      <c r="I32" s="680">
        <f>VLOOKUP($B32,BD!$B$61:$C$66,2,FALSE)</f>
        <v>4141.8900000000003</v>
      </c>
      <c r="J32" s="680">
        <f>VLOOKUP($B32,BD!$B$61:$C$66,2,FALSE)</f>
        <v>4141.8900000000003</v>
      </c>
      <c r="K32" s="680">
        <f>VLOOKUP($B32,BD!$B$61:$C$66,2,FALSE)</f>
        <v>4141.8900000000003</v>
      </c>
      <c r="L32" s="680">
        <f>VLOOKUP($B32,BD!$B$61:$C$66,2,FALSE)</f>
        <v>4141.8900000000003</v>
      </c>
      <c r="M32" s="680">
        <f>VLOOKUP($B32,BD!$B$61:$C$66,2,FALSE)</f>
        <v>4141.8900000000003</v>
      </c>
      <c r="N32" s="680">
        <f>VLOOKUP($B32,BD!$B$61:$C$66,2,FALSE)</f>
        <v>4141.8900000000003</v>
      </c>
      <c r="O32" s="680">
        <f>VLOOKUP($B32,BD!$B$61:$C$66,2,FALSE)</f>
        <v>4141.8900000000003</v>
      </c>
      <c r="P32" s="680">
        <f>VLOOKUP($B32,BD!$B$61:$C$66,2,FALSE)</f>
        <v>4141.8900000000003</v>
      </c>
      <c r="Q32" s="680">
        <f>VLOOKUP($B32,BD!$B$61:$C$66,2,FALSE)</f>
        <v>4141.8900000000003</v>
      </c>
      <c r="S32" s="9"/>
      <c r="T32" s="9"/>
      <c r="U32" s="9"/>
      <c r="V32" s="9"/>
    </row>
    <row r="33" spans="1:22">
      <c r="A33" s="681" t="s">
        <v>1336</v>
      </c>
      <c r="B33" s="679" t="s">
        <v>707</v>
      </c>
      <c r="C33" s="680">
        <f>IF(C45=0,0,VLOOKUP($B33,BD!$B$61:$C$66,2,FALSE))</f>
        <v>0</v>
      </c>
      <c r="D33" s="680">
        <f>IF(D45=0,0,VLOOKUP($B33,BD!$B$61:$C$66,2,FALSE))</f>
        <v>0</v>
      </c>
      <c r="E33" s="680">
        <f>IF(E45=0,0,VLOOKUP($B33,BD!$B$61:$C$66,2,FALSE))</f>
        <v>0</v>
      </c>
      <c r="F33" s="680">
        <f>VLOOKUP($B33,BD!$B$61:$C$66,2,FALSE)</f>
        <v>123.36</v>
      </c>
      <c r="G33" s="680">
        <f>VLOOKUP($B33,BD!$B$61:$C$66,2,FALSE)</f>
        <v>123.36</v>
      </c>
      <c r="H33" s="680">
        <f>VLOOKUP($B33,BD!$B$61:$C$66,2,FALSE)</f>
        <v>123.36</v>
      </c>
      <c r="I33" s="680">
        <f>VLOOKUP($B33,BD!$B$61:$C$66,2,FALSE)</f>
        <v>123.36</v>
      </c>
      <c r="J33" s="680">
        <f>VLOOKUP($B33,BD!$B$61:$C$66,2,FALSE)</f>
        <v>123.36</v>
      </c>
      <c r="K33" s="680">
        <f>VLOOKUP($B33,BD!$B$61:$C$66,2,FALSE)</f>
        <v>123.36</v>
      </c>
      <c r="L33" s="680">
        <f>VLOOKUP($B33,BD!$B$61:$C$66,2,FALSE)</f>
        <v>123.36</v>
      </c>
      <c r="M33" s="680">
        <f>VLOOKUP($B33,BD!$B$61:$C$66,2,FALSE)</f>
        <v>123.36</v>
      </c>
      <c r="N33" s="680">
        <f>VLOOKUP($B33,BD!$B$61:$C$66,2,FALSE)</f>
        <v>123.36</v>
      </c>
      <c r="O33" s="680">
        <f>VLOOKUP($B33,BD!$B$61:$C$66,2,FALSE)</f>
        <v>123.36</v>
      </c>
      <c r="P33" s="680">
        <f>VLOOKUP($B33,BD!$B$61:$C$66,2,FALSE)</f>
        <v>123.36</v>
      </c>
      <c r="Q33" s="680">
        <f>VLOOKUP($B33,BD!$B$61:$C$66,2,FALSE)</f>
        <v>123.36</v>
      </c>
      <c r="S33" s="9"/>
      <c r="T33" s="9"/>
      <c r="U33" s="9"/>
      <c r="V33" s="9"/>
    </row>
    <row r="34" spans="1:22">
      <c r="A34" s="1338" t="s">
        <v>1337</v>
      </c>
      <c r="B34" s="1339" t="s">
        <v>1194</v>
      </c>
      <c r="C34" s="1345">
        <f t="shared" ref="C34:Q34" si="12">C22</f>
        <v>1.1082167683385875</v>
      </c>
      <c r="D34" s="1345">
        <f t="shared" si="12"/>
        <v>1.1015781797155986</v>
      </c>
      <c r="E34" s="1345">
        <f t="shared" si="12"/>
        <v>1.0930813258985603</v>
      </c>
      <c r="F34" s="1340">
        <f t="shared" si="12"/>
        <v>1.0858745154816776</v>
      </c>
      <c r="G34" s="1340">
        <f t="shared" si="12"/>
        <v>1.0928625709205468</v>
      </c>
      <c r="H34" s="1340">
        <f t="shared" si="12"/>
        <v>1.0858814807891262</v>
      </c>
      <c r="I34" s="1340">
        <f t="shared" si="12"/>
        <v>1.0856825071943401</v>
      </c>
      <c r="J34" s="1340">
        <f t="shared" si="12"/>
        <v>1.0763096418852884</v>
      </c>
      <c r="K34" s="1340">
        <f t="shared" si="12"/>
        <v>1.0570963934847399</v>
      </c>
      <c r="L34" s="1340">
        <f t="shared" si="12"/>
        <v>1.0380694251480009</v>
      </c>
      <c r="M34" s="1340">
        <f t="shared" si="12"/>
        <v>1.0203079339221537</v>
      </c>
      <c r="N34" s="1340">
        <f t="shared" si="12"/>
        <v>1.0061088003233121</v>
      </c>
      <c r="O34" s="1340">
        <f t="shared" si="12"/>
        <v>1.0008877041571751</v>
      </c>
      <c r="P34" s="1340">
        <f t="shared" si="12"/>
        <v>0.99506416252827723</v>
      </c>
      <c r="Q34" s="1340">
        <f t="shared" si="12"/>
        <v>0.99301706056210437</v>
      </c>
      <c r="S34" s="9"/>
      <c r="T34" s="9"/>
      <c r="U34" s="9"/>
      <c r="V34" s="9"/>
    </row>
    <row r="35" spans="1:22">
      <c r="A35" s="1341" t="s">
        <v>1338</v>
      </c>
      <c r="B35" s="1342"/>
      <c r="C35" s="1343">
        <f>SUM(C28:C33)*C34</f>
        <v>0</v>
      </c>
      <c r="D35" s="1343">
        <f t="shared" ref="D35:Q35" si="13">SUM(D28:D33)*D34</f>
        <v>0</v>
      </c>
      <c r="E35" s="1343">
        <f t="shared" si="13"/>
        <v>0</v>
      </c>
      <c r="F35" s="1344">
        <f t="shared" si="13"/>
        <v>4631.5262771582256</v>
      </c>
      <c r="G35" s="1344">
        <f t="shared" si="13"/>
        <v>4661.3320806188622</v>
      </c>
      <c r="H35" s="1344">
        <f t="shared" si="13"/>
        <v>4631.55598593582</v>
      </c>
      <c r="I35" s="1344">
        <f t="shared" si="13"/>
        <v>4630.7073138106589</v>
      </c>
      <c r="J35" s="1344">
        <f t="shared" si="13"/>
        <v>4590.7297000512262</v>
      </c>
      <c r="K35" s="1344">
        <f t="shared" si="13"/>
        <v>4508.7803923107867</v>
      </c>
      <c r="L35" s="1344">
        <f t="shared" si="13"/>
        <v>4427.625615612511</v>
      </c>
      <c r="M35" s="1344">
        <f t="shared" si="13"/>
        <v>4351.8684151614661</v>
      </c>
      <c r="N35" s="1344">
        <f t="shared" si="13"/>
        <v>4291.3055605790069</v>
      </c>
      <c r="O35" s="1344">
        <f t="shared" si="13"/>
        <v>4269.0362801563915</v>
      </c>
      <c r="P35" s="1344">
        <f t="shared" si="13"/>
        <v>4244.1974192237349</v>
      </c>
      <c r="Q35" s="1344">
        <f t="shared" si="13"/>
        <v>4235.4660175625158</v>
      </c>
      <c r="R35" s="9"/>
      <c r="S35" s="9"/>
      <c r="T35" s="9"/>
      <c r="U35" s="9"/>
      <c r="V35" s="9"/>
    </row>
    <row r="36" spans="1:22">
      <c r="A36" s="1346"/>
      <c r="B36" s="1328"/>
      <c r="C36" s="1346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5" t="s">
        <v>1341</v>
      </c>
      <c r="B37" s="679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6" t="s">
        <v>22</v>
      </c>
      <c r="B38" s="1847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6"/>
      <c r="B39" s="1848"/>
      <c r="C39" s="1347">
        <f>C27</f>
        <v>44348</v>
      </c>
      <c r="D39" s="1347">
        <f t="shared" ref="D39:E39" si="14">D27</f>
        <v>44378</v>
      </c>
      <c r="E39" s="1347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8" t="s">
        <v>1331</v>
      </c>
      <c r="B40" s="682"/>
      <c r="C40" s="683"/>
      <c r="D40" s="684"/>
      <c r="E40" s="684"/>
      <c r="F40" s="65"/>
      <c r="G40" s="842"/>
      <c r="H40" s="680"/>
      <c r="I40" s="680"/>
      <c r="J40" s="680"/>
      <c r="K40" s="680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8" t="s">
        <v>1332</v>
      </c>
      <c r="B41" s="682"/>
      <c r="C41" s="683"/>
      <c r="D41" s="684"/>
      <c r="E41" s="684"/>
      <c r="F41" s="65"/>
      <c r="G41" s="842"/>
      <c r="H41" s="680"/>
      <c r="I41" s="680"/>
      <c r="J41" s="680"/>
      <c r="K41" s="680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8" t="s">
        <v>1333</v>
      </c>
      <c r="B42" s="682"/>
      <c r="C42" s="683"/>
      <c r="D42" s="684"/>
      <c r="E42" s="684"/>
      <c r="F42" s="65"/>
      <c r="G42" s="842"/>
      <c r="H42" s="680"/>
      <c r="I42" s="680"/>
      <c r="J42" s="680"/>
      <c r="K42" s="680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8" t="s">
        <v>1334</v>
      </c>
      <c r="B43" s="682"/>
      <c r="C43" s="683"/>
      <c r="D43" s="684"/>
      <c r="E43" s="684"/>
      <c r="F43" s="65"/>
      <c r="G43" s="842"/>
      <c r="H43" s="680"/>
      <c r="I43" s="680"/>
      <c r="J43" s="680"/>
      <c r="K43" s="680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8" t="s">
        <v>1335</v>
      </c>
      <c r="B44" s="682"/>
      <c r="C44" s="683"/>
      <c r="D44" s="684"/>
      <c r="E44" s="684"/>
      <c r="F44" s="65"/>
      <c r="G44" s="842"/>
      <c r="H44" s="680"/>
      <c r="I44" s="680"/>
      <c r="J44" s="680"/>
      <c r="K44" s="680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1" t="s">
        <v>1336</v>
      </c>
      <c r="B45" s="682"/>
      <c r="C45" s="685"/>
      <c r="D45" s="840"/>
      <c r="E45" s="840"/>
      <c r="F45" s="65"/>
      <c r="G45" s="842"/>
      <c r="H45" s="680"/>
      <c r="I45" s="680"/>
      <c r="J45" s="680"/>
      <c r="K45" s="680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8" t="s">
        <v>8</v>
      </c>
      <c r="B49" s="1349"/>
      <c r="C49" s="1348"/>
      <c r="D49" s="9"/>
    </row>
    <row r="50" spans="1:10">
      <c r="A50" s="1349" t="s">
        <v>2</v>
      </c>
      <c r="B50" s="1349"/>
      <c r="C50" s="1325"/>
    </row>
    <row r="51" spans="1:10">
      <c r="A51" s="1349" t="s">
        <v>3</v>
      </c>
      <c r="B51" s="1349"/>
      <c r="C51" s="1325"/>
      <c r="D51" s="232"/>
    </row>
    <row r="52" spans="1:10">
      <c r="A52" s="1349" t="s">
        <v>4</v>
      </c>
      <c r="B52" s="1349"/>
      <c r="C52" s="1325"/>
      <c r="D52" s="232"/>
    </row>
    <row r="53" spans="1:10">
      <c r="A53" s="1349" t="s">
        <v>5</v>
      </c>
      <c r="B53" s="1349"/>
      <c r="C53" s="1325"/>
      <c r="D53" s="232"/>
    </row>
    <row r="54" spans="1:10">
      <c r="A54" s="1349" t="s">
        <v>6</v>
      </c>
      <c r="B54" s="1349"/>
      <c r="C54" s="1325"/>
      <c r="D54" s="232"/>
      <c r="H54" s="1350"/>
      <c r="I54" s="1351"/>
      <c r="J54" s="1352"/>
    </row>
    <row r="55" spans="1:10">
      <c r="A55" s="1349" t="s">
        <v>7</v>
      </c>
      <c r="B55" s="1349"/>
      <c r="C55" s="1325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Normal="100" workbookViewId="0">
      <pane ySplit="3" topLeftCell="A4" activePane="bottomLeft" state="frozen"/>
      <selection activeCell="D36" sqref="D36"/>
      <selection pane="bottomLeft" activeCell="G17" sqref="G17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2" t="s">
        <v>1342</v>
      </c>
      <c r="C1" s="258"/>
      <c r="D1" s="258"/>
      <c r="E1" s="204"/>
      <c r="F1" s="1353"/>
      <c r="G1" s="1131" t="s">
        <v>873</v>
      </c>
      <c r="H1" s="1132">
        <f ca="1">LnkTXTIRTEco</f>
        <v>0.1164</v>
      </c>
    </row>
    <row r="2" spans="2:26" ht="14.25">
      <c r="B2" s="136" t="str">
        <f>CAPA!C9</f>
        <v>Cersad</v>
      </c>
      <c r="C2" s="1354"/>
      <c r="D2" s="1354"/>
      <c r="E2" s="1354"/>
      <c r="F2" s="1355"/>
      <c r="G2" s="120" t="s">
        <v>877</v>
      </c>
      <c r="H2" s="121">
        <f ca="1">LnkTXTIRTTotal</f>
        <v>-0.14729999999999999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57"/>
      <c r="P4" s="1857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6" t="s">
        <v>1343</v>
      </c>
      <c r="M6" s="1357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60" t="s">
        <v>1348</v>
      </c>
      <c r="C11" s="1861"/>
      <c r="D11" s="1358" t="s">
        <v>1349</v>
      </c>
      <c r="E11" s="1359" t="s">
        <v>1350</v>
      </c>
      <c r="F11" s="1360" t="s">
        <v>1351</v>
      </c>
      <c r="G11" s="1359" t="s">
        <v>2392</v>
      </c>
      <c r="H11" s="1359"/>
      <c r="I11" s="1359"/>
      <c r="J11" s="1359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66" t="s">
        <v>1353</v>
      </c>
      <c r="C12" s="1861"/>
      <c r="D12" s="1361" t="s">
        <v>1346</v>
      </c>
      <c r="E12" s="1361" t="s">
        <v>772</v>
      </c>
      <c r="F12" s="1361" t="s">
        <v>772</v>
      </c>
      <c r="G12" s="1361" t="s">
        <v>772</v>
      </c>
      <c r="H12" s="1361" t="s">
        <v>772</v>
      </c>
      <c r="I12" s="1361" t="s">
        <v>772</v>
      </c>
      <c r="J12" s="1361" t="s">
        <v>772</v>
      </c>
      <c r="L12" s="1362" t="s">
        <v>1354</v>
      </c>
      <c r="M12" s="1363">
        <v>41275</v>
      </c>
      <c r="O12" s="267"/>
      <c r="P12" s="287"/>
      <c r="Z12" s="68"/>
    </row>
    <row r="13" spans="2:26" ht="14.25">
      <c r="B13" s="1867" t="s">
        <v>1355</v>
      </c>
      <c r="C13" s="1868"/>
      <c r="D13" s="1364">
        <v>43617</v>
      </c>
      <c r="E13" s="1364">
        <v>43617</v>
      </c>
      <c r="F13" s="1364">
        <v>43617</v>
      </c>
      <c r="G13" s="1364">
        <v>44774</v>
      </c>
      <c r="H13" s="1364">
        <f t="shared" ref="H13:J14" si="0">G13</f>
        <v>44774</v>
      </c>
      <c r="I13" s="1364">
        <f t="shared" si="0"/>
        <v>44774</v>
      </c>
      <c r="J13" s="1364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58" t="s">
        <v>1356</v>
      </c>
      <c r="C14" s="1859"/>
      <c r="D14" s="1364">
        <v>42887</v>
      </c>
      <c r="E14" s="1364">
        <v>43252</v>
      </c>
      <c r="F14" s="1364">
        <v>43252</v>
      </c>
      <c r="G14" s="1364">
        <v>44409</v>
      </c>
      <c r="H14" s="1364">
        <f t="shared" si="0"/>
        <v>44409</v>
      </c>
      <c r="I14" s="1364">
        <f t="shared" si="0"/>
        <v>44409</v>
      </c>
      <c r="J14" s="1364">
        <f t="shared" si="0"/>
        <v>44409</v>
      </c>
      <c r="L14" s="1365"/>
      <c r="M14" s="1366">
        <v>41334</v>
      </c>
      <c r="O14" s="267"/>
      <c r="P14" s="287"/>
      <c r="Z14" s="68"/>
    </row>
    <row r="15" spans="2:26" ht="14.25">
      <c r="B15" s="1858" t="s">
        <v>1357</v>
      </c>
      <c r="C15" s="1859"/>
      <c r="D15" s="1367">
        <f>VLOOKUP(D13,Índices!$B$6:$F$500,VLOOKUP(D12,$L$7:$M$9,2,FALSE)+1,FALSE)/VLOOKUP(D14,Índices!$B$6:$F$500,VLOOKUP(D12,$L$7:$M$9,2,FALSE)+1,FALSE)</f>
        <v>1.1414978440075982</v>
      </c>
      <c r="E15" s="1367">
        <f>VLOOKUP(E13,Índices!$B$6:$F$500,VLOOKUP(E12,$L$7:$M$9,2,FALSE)+1,FALSE)/VLOOKUP(E14,Índices!$B$6:$F$500,VLOOKUP(E12,$L$7:$M$9,2,FALSE)+1,FALSE)</f>
        <v>1.0336626715248016</v>
      </c>
      <c r="F15" s="1367">
        <f>VLOOKUP(F13,Índices!$B$6:$F$500,VLOOKUP(F12,$L$7:$M$9,2,FALSE)+1,FALSE)/VLOOKUP(F14,Índices!$B$6:$F$500,VLOOKUP(F12,$L$7:$M$9,2,FALSE)+1,FALSE)</f>
        <v>1.0336626715248016</v>
      </c>
      <c r="G15" s="1367">
        <f>VLOOKUP(G13,Índices!$B$6:$F$500,VLOOKUP(G12,$L$7:$M$9,2,FALSE)+1,FALSE)/VLOOKUP(G14,Índices!$B$6:$F$500,VLOOKUP(G12,$L$7:$M$9,2,FALSE)+1,FALSE)</f>
        <v>1.0872729129262004</v>
      </c>
      <c r="H15" s="1367">
        <f>VLOOKUP(H13,Índices!$B$6:$F$500,VLOOKUP(H12,$L$7:$M$9,2,FALSE)+1,FALSE)/VLOOKUP(H14,Índices!$B$6:$F$500,VLOOKUP(H12,$L$7:$M$9,2,FALSE)+1,FALSE)</f>
        <v>1.0872729129262004</v>
      </c>
      <c r="I15" s="1367">
        <f>VLOOKUP(I13,Índices!$B$6:$F$500,VLOOKUP(I12,$L$7:$M$9,2,FALSE)+1,FALSE)/VLOOKUP(I14,Índices!$B$6:$F$500,VLOOKUP(I12,$L$7:$M$9,2,FALSE)+1,FALSE)</f>
        <v>1.0872729129262004</v>
      </c>
      <c r="J15" s="1367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58" t="s">
        <v>1358</v>
      </c>
      <c r="C16" s="1859"/>
      <c r="D16" s="1368"/>
      <c r="E16" s="1368"/>
      <c r="F16" s="1368"/>
      <c r="G16" s="1368">
        <v>148829.71686665801</v>
      </c>
      <c r="H16" s="1368"/>
      <c r="I16" s="1368"/>
      <c r="J16" s="1368"/>
      <c r="O16" s="267"/>
      <c r="P16" s="287"/>
      <c r="Z16" s="68"/>
    </row>
    <row r="17" spans="1:26" ht="14.25">
      <c r="B17" s="1864" t="s">
        <v>1359</v>
      </c>
      <c r="C17" s="1865"/>
      <c r="D17" s="1369">
        <f t="shared" ref="D17:E17" si="1">D16*D15</f>
        <v>0</v>
      </c>
      <c r="E17" s="1369">
        <f t="shared" si="1"/>
        <v>0</v>
      </c>
      <c r="F17" s="1369">
        <f>F16*F15</f>
        <v>0</v>
      </c>
      <c r="G17" s="1369">
        <f>G16*G15</f>
        <v>161818.51978759293</v>
      </c>
      <c r="H17" s="1369">
        <f>H16*H15</f>
        <v>0</v>
      </c>
      <c r="I17" s="1369">
        <f>I16*I15</f>
        <v>0</v>
      </c>
      <c r="J17" s="1369">
        <f>J16*J15</f>
        <v>0</v>
      </c>
      <c r="O17" s="267"/>
      <c r="P17" s="92"/>
      <c r="Z17" s="68"/>
    </row>
    <row r="18" spans="1:26" ht="14.25">
      <c r="E18" s="290" t="s">
        <v>1360</v>
      </c>
      <c r="F18" s="491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0" t="s">
        <v>1348</v>
      </c>
      <c r="C22" s="1862" t="s">
        <v>2280</v>
      </c>
      <c r="D22" s="1863"/>
      <c r="E22" s="1851" t="s">
        <v>1364</v>
      </c>
      <c r="F22" s="1852"/>
      <c r="G22" s="1851" t="str">
        <f>Financeiros!C25</f>
        <v>Ajuste CUST RB Fronteira + PIS Cofins RB Fronteira</v>
      </c>
      <c r="H22" s="1852"/>
      <c r="I22" s="1853" t="s">
        <v>1176</v>
      </c>
      <c r="J22" s="1854"/>
      <c r="K22" s="1869" t="s">
        <v>1365</v>
      </c>
      <c r="L22" s="1870"/>
      <c r="M22" s="1871" t="s">
        <v>2157</v>
      </c>
      <c r="N22" s="1872"/>
      <c r="O22" s="1849" t="s">
        <v>1366</v>
      </c>
      <c r="P22" s="1850"/>
      <c r="Q22" s="1849" t="s">
        <v>192</v>
      </c>
      <c r="R22" s="1850"/>
      <c r="S22" s="1849" t="s">
        <v>2043</v>
      </c>
      <c r="T22" s="1850"/>
      <c r="U22" s="1849" t="s">
        <v>2044</v>
      </c>
      <c r="V22" s="1850"/>
      <c r="Z22" s="68"/>
    </row>
    <row r="23" spans="1:26" ht="14.25">
      <c r="B23" s="1371" t="s">
        <v>925</v>
      </c>
      <c r="C23" s="1372" t="s">
        <v>1367</v>
      </c>
      <c r="D23" s="1373" t="s">
        <v>772</v>
      </c>
      <c r="E23" s="1372" t="s">
        <v>1367</v>
      </c>
      <c r="F23" s="1373" t="s">
        <v>772</v>
      </c>
      <c r="G23" s="1372" t="s">
        <v>1367</v>
      </c>
      <c r="H23" s="1373" t="s">
        <v>772</v>
      </c>
      <c r="I23" s="1372" t="s">
        <v>1367</v>
      </c>
      <c r="J23" s="1373" t="s">
        <v>772</v>
      </c>
      <c r="K23" s="1372" t="s">
        <v>1367</v>
      </c>
      <c r="L23" s="1373" t="s">
        <v>1346</v>
      </c>
      <c r="M23" s="1374" t="s">
        <v>1367</v>
      </c>
      <c r="N23" s="1375" t="s">
        <v>1346</v>
      </c>
      <c r="O23" s="1374" t="s">
        <v>1367</v>
      </c>
      <c r="P23" s="1375" t="s">
        <v>772</v>
      </c>
      <c r="Q23" s="1374" t="s">
        <v>1367</v>
      </c>
      <c r="R23" s="1375" t="s">
        <v>772</v>
      </c>
      <c r="S23" s="1374" t="s">
        <v>1367</v>
      </c>
      <c r="T23" s="1375" t="s">
        <v>772</v>
      </c>
      <c r="U23" s="1374" t="s">
        <v>1367</v>
      </c>
      <c r="V23" s="1375" t="s">
        <v>772</v>
      </c>
      <c r="Z23" s="68"/>
    </row>
    <row r="24" spans="1:26" ht="14.25">
      <c r="B24" s="1376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1064.51</v>
      </c>
      <c r="D37" s="830">
        <f>VLOOKUP($B$48,Índices!$B$6:$F$500,VLOOKUP(D$23,$L$7:$M$9,2,FALSE)+1,FALSE)/VLOOKUP(DATE(YEAR($B37),MONTH($B37)-1,1),Índices!$B$6:$F$500,VLOOKUP(D$23,$L$7:$M$9,2,FALSE)+1,FALSE)*C37</f>
        <v>1157.4128885390696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9666.4245633807495</v>
      </c>
      <c r="N37" s="830">
        <f>VLOOKUP($B$48,Índices!$B$6:$F$500,VLOOKUP(N$23,$L$7:$M$9,2,FALSE)+1,FALSE)/VLOOKUP(DATE(YEAR($B37),MONTH($B37)-1,1),Índices!$B$6:$F$500,VLOOKUP(N$23,$L$7:$M$9,2,FALSE)+1,FALSE)*M37</f>
        <v>10655.742315428566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6554.88</v>
      </c>
      <c r="D38" s="225">
        <f>VLOOKUP($B$48,Índices!$B$6:$F$500,VLOOKUP(D$23,$L$7:$M$9,2,FALSE)+1,FALSE)/VLOOKUP(DATE(YEAR($B38),MONTH($B38)-1,1),Índices!$B$6:$F$500,VLOOKUP(D$23,$L$7:$M$9,2,FALSE)+1,FALSE)*C38</f>
        <v>7045.2215156597758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9666.4245633807495</v>
      </c>
      <c r="N38" s="99">
        <f>VLOOKUP($B$48,Índices!$B$6:$F$500,VLOOKUP(N$23,$L$7:$M$9,2,FALSE)+1,FALSE)/VLOOKUP(DATE(YEAR($B38),MONTH($B38)-1,1),Índices!$B$6:$F$500,VLOOKUP(N$23,$L$7:$M$9,2,FALSE)+1,FALSE)*M38</f>
        <v>10608.851263685248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12389.75</v>
      </c>
      <c r="D39" s="225">
        <f>VLOOKUP($B$48,Índices!$B$6:$F$500,VLOOKUP(D$23,$L$7:$M$9,2,FALSE)+1,FALSE)/VLOOKUP(DATE(YEAR($B39),MONTH($B39)-1,1),Índices!$B$6:$F$500,VLOOKUP(D$23,$L$7:$M$9,2,FALSE)+1,FALSE)*C39</f>
        <v>13152.175884479711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9666.4245633807495</v>
      </c>
      <c r="N39" s="99">
        <f>VLOOKUP($B$48,Índices!$B$6:$F$500,VLOOKUP(N$23,$L$7:$M$9,2,FALSE)+1,FALSE)/VLOOKUP(DATE(YEAR($B39),MONTH($B39)-1,1),Índices!$B$6:$F$500,VLOOKUP(N$23,$L$7:$M$9,2,FALSE)+1,FALSE)*M39</f>
        <v>10557.542020941892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12756.52</v>
      </c>
      <c r="D40" s="225">
        <f>VLOOKUP($B$48,Índices!$B$6:$F$500,VLOOKUP(D$23,$L$7:$M$9,2,FALSE)+1,FALSE)/VLOOKUP(DATE(YEAR($B40),MONTH($B40)-1,1),Índices!$B$6:$F$500,VLOOKUP(D$23,$L$7:$M$9,2,FALSE)+1,FALSE)*C40</f>
        <v>13414.072793773219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9666.4245633807495</v>
      </c>
      <c r="N40" s="99">
        <f>VLOOKUP($B$48,Índices!$B$6:$F$500,VLOOKUP(N$23,$L$7:$M$9,2,FALSE)+1,FALSE)/VLOOKUP(DATE(YEAR($B40),MONTH($B40)-1,1),Índices!$B$6:$F$500,VLOOKUP(N$23,$L$7:$M$9,2,FALSE)+1,FALSE)*M40</f>
        <v>10495.957087832849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11766.69</v>
      </c>
      <c r="D41" s="225">
        <f>VLOOKUP($B$48,Índices!$B$6:$F$500,VLOOKUP(D$23,$L$7:$M$9,2,FALSE)+1,FALSE)/VLOOKUP(DATE(YEAR($B41),MONTH($B41)-1,1),Índices!$B$6:$F$500,VLOOKUP(D$23,$L$7:$M$9,2,FALSE)+1,FALSE)*C41</f>
        <v>12283.555783998145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9666.4245633807495</v>
      </c>
      <c r="N41" s="99">
        <f>VLOOKUP($B$48,Índices!$B$6:$F$500,VLOOKUP(N$23,$L$7:$M$9,2,FALSE)+1,FALSE)/VLOOKUP(DATE(YEAR($B41),MONTH($B41)-1,1),Índices!$B$6:$F$500,VLOOKUP(N$23,$L$7:$M$9,2,FALSE)+1,FALSE)*M41</f>
        <v>10415.850543470842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2808.49</v>
      </c>
      <c r="D42" s="225">
        <f>VLOOKUP($B$48,Índices!$B$6:$F$500,VLOOKUP(D$23,$L$7:$M$9,2,FALSE)+1,FALSE)/VLOOKUP(DATE(YEAR($B42),MONTH($B42)-1,1),Índices!$B$6:$F$500,VLOOKUP(D$23,$L$7:$M$9,2,FALSE)+1,FALSE)*C42</f>
        <v>2916.1084115948242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-15097.09</v>
      </c>
      <c r="H42" s="225">
        <f>VLOOKUP($B$48,Índices!$B$6:$F$500,VLOOKUP(H$23,$L$7:$M$9,2,FALSE)+1,FALSE)/VLOOKUP(DATE(YEAR($B42),MONTH($B42)-1,1),Índices!$B$6:$F$500,VLOOKUP(H$23,$L$7:$M$9,2,FALSE)+1,FALSE)*G42</f>
        <v>-15675.594764305413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9666.4245633807495</v>
      </c>
      <c r="N42" s="99">
        <f>VLOOKUP($B$48,Índices!$B$6:$F$500,VLOOKUP(N$23,$L$7:$M$9,2,FALSE)+1,FALSE)/VLOOKUP(DATE(YEAR($B42),MONTH($B42)-1,1),Índices!$B$6:$F$500,VLOOKUP(N$23,$L$7:$M$9,2,FALSE)+1,FALSE)*M42</f>
        <v>10340.132819309878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2010.4</v>
      </c>
      <c r="D43" s="225">
        <f>VLOOKUP($B$48,Índices!$B$6:$F$500,VLOOKUP(D$23,$L$7:$M$9,2,FALSE)+1,FALSE)/VLOOKUP(DATE(YEAR($B43),MONTH($B43)-1,1),Índices!$B$6:$F$500,VLOOKUP(D$23,$L$7:$M$9,2,FALSE)+1,FALSE)*C43</f>
        <v>2066.5628757698819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9666.4245633807495</v>
      </c>
      <c r="N43" s="99">
        <f>VLOOKUP($B$48,Índices!$B$6:$F$500,VLOOKUP(N$23,$L$7:$M$9,2,FALSE)+1,FALSE)/VLOOKUP(DATE(YEAR($B43),MONTH($B43)-1,1),Índices!$B$6:$F$500,VLOOKUP(N$23,$L$7:$M$9,2,FALSE)+1,FALSE)*M43</f>
        <v>10262.645638385515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2034.04</v>
      </c>
      <c r="D44" s="225">
        <f>VLOOKUP($B$48,Índices!$B$6:$F$500,VLOOKUP(D$23,$L$7:$M$9,2,FALSE)+1,FALSE)/VLOOKUP(DATE(YEAR($B44),MONTH($B44)-1,1),Índices!$B$6:$F$500,VLOOKUP(D$23,$L$7:$M$9,2,FALSE)+1,FALSE)*C44</f>
        <v>2057.5302662949084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9666.4245633807495</v>
      </c>
      <c r="N44" s="99">
        <f>VLOOKUP($B$48,Índices!$B$6:$F$500,VLOOKUP(N$23,$L$7:$M$9,2,FALSE)+1,FALSE)/VLOOKUP(DATE(YEAR($B44),MONTH($B44)-1,1),Índices!$B$6:$F$500,VLOOKUP(N$23,$L$7:$M$9,2,FALSE)+1,FALSE)*M44</f>
        <v>10168.379285426339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759.39</v>
      </c>
      <c r="D45" s="225">
        <f>VLOOKUP($B$48,Índices!$B$6:$F$500,VLOOKUP(D$23,$L$7:$M$9,2,FALSE)+1,FALSE)/VLOOKUP(DATE(YEAR($B45),MONTH($B45)-1,1),Índices!$B$6:$F$500,VLOOKUP(D$23,$L$7:$M$9,2,FALSE)+1,FALSE)*C45</f>
        <v>760.10264791128759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9666.4245633807495</v>
      </c>
      <c r="N45" s="99">
        <f>VLOOKUP($B$48,Índices!$B$6:$F$500,VLOOKUP(N$23,$L$7:$M$9,2,FALSE)+1,FALSE)/VLOOKUP(DATE(YEAR($B45),MONTH($B45)-1,1),Índices!$B$6:$F$500,VLOOKUP(N$23,$L$7:$M$9,2,FALSE)+1,FALSE)*M45</f>
        <v>10084.244365026707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1214.98</v>
      </c>
      <c r="D46" s="225">
        <f>VLOOKUP($B$48,Índices!$B$6:$F$500,VLOOKUP(D$23,$L$7:$M$9,2,FALSE)+1,FALSE)/VLOOKUP(DATE(YEAR($B46),MONTH($B46)-1,1),Índices!$B$6:$F$500,VLOOKUP(D$23,$L$7:$M$9,2,FALSE)+1,FALSE)*C46</f>
        <v>1210.4310812926485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-3623.43</v>
      </c>
      <c r="H46" s="225">
        <f>VLOOKUP($B$48,Índices!$B$6:$F$500,VLOOKUP(H$23,$L$7:$M$9,2,FALSE)+1,FALSE)/VLOOKUP(DATE(YEAR($B46),MONTH($B46)-1,1),Índices!$B$6:$F$500,VLOOKUP(H$23,$L$7:$M$9,2,FALSE)+1,FALSE)*G46</f>
        <v>-3609.8637779125756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0</v>
      </c>
      <c r="L46" s="225">
        <f>VLOOKUP($B$48,Índices!$B$6:$F$500,VLOOKUP(L$23,$L$7:$M$9,2,FALSE)+1,FALSE)/VLOOKUP(DATE(YEAR($B46),MONTH($B46)-1,1),Índices!$B$6:$F$500,VLOOKUP(L$23,$L$7:$M$9,2,FALSE)+1,FALSE)*K46</f>
        <v>0</v>
      </c>
      <c r="M46" s="407">
        <f>CVE!$I$14/12</f>
        <v>9666.4245633807495</v>
      </c>
      <c r="N46" s="99">
        <f>VLOOKUP($B$48,Índices!$B$6:$F$500,VLOOKUP(N$23,$L$7:$M$9,2,FALSE)+1,FALSE)/VLOOKUP(DATE(YEAR($B46),MONTH($B46)-1,1),Índices!$B$6:$F$500,VLOOKUP(N$23,$L$7:$M$9,2,FALSE)+1,FALSE)*M46</f>
        <v>9980.9818947266267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2342.19</v>
      </c>
      <c r="D47" s="225">
        <f>VLOOKUP($B$48,Índices!$B$6:$F$500,VLOOKUP(D$23,$L$7:$M$9,2,FALSE)+1,FALSE)/VLOOKUP(DATE(YEAR($B47),MONTH($B47)-1,1),Índices!$B$6:$F$500,VLOOKUP(D$23,$L$7:$M$9,2,FALSE)+1,FALSE)*C47</f>
        <v>2317.8895769418432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0</v>
      </c>
      <c r="L47" s="225">
        <f>VLOOKUP($B$48,Índices!$B$6:$F$500,VLOOKUP(L$23,$L$7:$M$9,2,FALSE)+1,FALSE)/VLOOKUP(DATE(YEAR($B47),MONTH($B47)-1,1),Índices!$B$6:$F$500,VLOOKUP(L$23,$L$7:$M$9,2,FALSE)+1,FALSE)*K47</f>
        <v>0</v>
      </c>
      <c r="M47" s="407">
        <f>CVE!$I$14/12</f>
        <v>9666.4245633807495</v>
      </c>
      <c r="N47" s="99">
        <f>VLOOKUP($B$48,Índices!$B$6:$F$500,VLOOKUP(N$23,$L$7:$M$9,2,FALSE)+1,FALSE)/VLOOKUP(DATE(YEAR($B47),MONTH($B47)-1,1),Índices!$B$6:$F$500,VLOOKUP(N$23,$L$7:$M$9,2,FALSE)+1,FALSE)*M47</f>
        <v>9880.661991263034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7">
        <f>DATE(YEAR(CAPA!$C$15),MONTH(CAPA!$C$15)-1,1)</f>
        <v>44774</v>
      </c>
      <c r="C48" s="293">
        <f>CAPA!C77</f>
        <v>3068.6</v>
      </c>
      <c r="D48" s="225">
        <f>VLOOKUP($B$48,Índices!$B$6:$F$500,VLOOKUP(D$23,$L$7:$M$9,2,FALSE)+1,FALSE)/VLOOKUP(DATE(YEAR($B48),MONTH($B48)-1,1),Índices!$B$6:$F$500,VLOOKUP(D$23,$L$7:$M$9,2,FALSE)+1,FALSE)*C48</f>
        <v>3057.5544852969842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-472.84</v>
      </c>
      <c r="H48" s="225">
        <f>VLOOKUP($B$48,Índices!$B$6:$F$500,VLOOKUP(H$23,$L$7:$M$9,2,FALSE)+1,FALSE)/VLOOKUP(DATE(YEAR($B48),MONTH($B48)-1,1),Índices!$B$6:$F$500,VLOOKUP(H$23,$L$7:$M$9,2,FALSE)+1,FALSE)*G48</f>
        <v>-471.13799870554197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9666.4245633807495</v>
      </c>
      <c r="N48" s="99">
        <f>VLOOKUP($B$48,Índices!$B$6:$F$500,VLOOKUP(N$23,$L$7:$M$9,2,FALSE)+1,FALSE)/VLOOKUP(DATE(YEAR($B48),MONTH($B48)-1,1),Índices!$B$6:$F$500,VLOOKUP(N$23,$L$7:$M$9,2,FALSE)+1,FALSE)*M48</f>
        <v>9779.4599893859431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8">
        <f t="shared" ref="C49:P49" si="3">SUM(C25:C48)</f>
        <v>58770.44</v>
      </c>
      <c r="D49" s="1379">
        <f t="shared" si="3"/>
        <v>61438.618211552304</v>
      </c>
      <c r="E49" s="1378">
        <f t="shared" si="3"/>
        <v>0</v>
      </c>
      <c r="F49" s="1379">
        <f t="shared" si="3"/>
        <v>0</v>
      </c>
      <c r="G49" s="1378">
        <f t="shared" si="3"/>
        <v>-19193.36</v>
      </c>
      <c r="H49" s="1379">
        <f t="shared" si="3"/>
        <v>-19756.596540923529</v>
      </c>
      <c r="I49" s="1380">
        <f>SUM(I24:I48)</f>
        <v>0</v>
      </c>
      <c r="J49" s="1380">
        <f>SUM(J24:J48)</f>
        <v>0</v>
      </c>
      <c r="K49" s="1381">
        <f t="shared" si="3"/>
        <v>0</v>
      </c>
      <c r="L49" s="1382">
        <f t="shared" si="3"/>
        <v>0</v>
      </c>
      <c r="M49" s="1383">
        <f t="shared" si="3"/>
        <v>115997.09476056897</v>
      </c>
      <c r="N49" s="1384">
        <f t="shared" si="3"/>
        <v>123230.44921488344</v>
      </c>
      <c r="O49" s="1383">
        <f t="shared" si="3"/>
        <v>0</v>
      </c>
      <c r="P49" s="1384">
        <f t="shared" si="3"/>
        <v>0</v>
      </c>
      <c r="Q49" s="1383">
        <f t="shared" ref="Q49:R49" si="4">SUM(Q25:Q48)</f>
        <v>0</v>
      </c>
      <c r="R49" s="1384">
        <f t="shared" si="4"/>
        <v>0</v>
      </c>
      <c r="S49" s="1383">
        <f>-S51</f>
        <v>0</v>
      </c>
      <c r="T49" s="1384">
        <f t="shared" ref="T49:V49" si="5">SUM(T25:T48)</f>
        <v>0</v>
      </c>
      <c r="U49" s="1383">
        <f>-S52</f>
        <v>0</v>
      </c>
      <c r="V49" s="1384">
        <f t="shared" si="5"/>
        <v>0</v>
      </c>
      <c r="Z49" s="68"/>
    </row>
    <row r="50" spans="2:30" ht="14.25">
      <c r="J50" s="68" t="s">
        <v>848</v>
      </c>
      <c r="M50" s="198"/>
      <c r="N50" s="107"/>
      <c r="S50" s="1317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55" t="s">
        <v>2085</v>
      </c>
      <c r="D53" s="1856"/>
      <c r="E53" s="1855" t="s">
        <v>1369</v>
      </c>
      <c r="F53" s="1856"/>
      <c r="G53" s="1855" t="s">
        <v>1370</v>
      </c>
      <c r="H53" s="1856"/>
      <c r="I53" s="1855" t="s">
        <v>1371</v>
      </c>
      <c r="J53" s="1856"/>
      <c r="K53" s="1851" t="s">
        <v>1372</v>
      </c>
      <c r="L53" s="1852"/>
      <c r="M53" s="1855" t="s">
        <v>1373</v>
      </c>
      <c r="N53" s="1856"/>
      <c r="O53" s="1855" t="s">
        <v>2087</v>
      </c>
      <c r="P53" s="1856"/>
      <c r="Q53" s="1855" t="s">
        <v>2088</v>
      </c>
      <c r="R53" s="1856"/>
      <c r="S53" s="1855" t="s">
        <v>1374</v>
      </c>
      <c r="T53" s="1856"/>
      <c r="U53" s="1855" t="s">
        <v>1375</v>
      </c>
      <c r="V53" s="1856"/>
      <c r="W53" s="1855" t="s">
        <v>36</v>
      </c>
      <c r="X53" s="1856"/>
      <c r="Z53" s="68"/>
    </row>
    <row r="54" spans="2:30" ht="14.25">
      <c r="C54" s="1374" t="s">
        <v>1367</v>
      </c>
      <c r="D54" s="1375" t="s">
        <v>772</v>
      </c>
      <c r="E54" s="1374" t="s">
        <v>1367</v>
      </c>
      <c r="F54" s="1375" t="s">
        <v>772</v>
      </c>
      <c r="G54" s="1374" t="s">
        <v>1367</v>
      </c>
      <c r="H54" s="1375" t="s">
        <v>772</v>
      </c>
      <c r="I54" s="1374" t="s">
        <v>1367</v>
      </c>
      <c r="J54" s="1375" t="s">
        <v>772</v>
      </c>
      <c r="K54" s="1372" t="s">
        <v>1367</v>
      </c>
      <c r="L54" s="1373" t="s">
        <v>772</v>
      </c>
      <c r="M54" s="1374" t="s">
        <v>1367</v>
      </c>
      <c r="N54" s="1375" t="s">
        <v>772</v>
      </c>
      <c r="O54" s="1374" t="s">
        <v>1367</v>
      </c>
      <c r="P54" s="1375" t="s">
        <v>772</v>
      </c>
      <c r="Q54" s="1374" t="s">
        <v>1367</v>
      </c>
      <c r="R54" s="1375" t="s">
        <v>772</v>
      </c>
      <c r="S54" s="1374" t="s">
        <v>1367</v>
      </c>
      <c r="T54" s="1375" t="s">
        <v>772</v>
      </c>
      <c r="U54" s="1374" t="s">
        <v>1367</v>
      </c>
      <c r="V54" s="1375" t="s">
        <v>772</v>
      </c>
      <c r="W54" s="1374" t="s">
        <v>1367</v>
      </c>
      <c r="X54" s="1385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-0.79952876130801087</v>
      </c>
      <c r="F68" s="99">
        <f ca="1">VLOOKUP($B$79,Índices!$B$6:$F$500,VLOOKUP(F$54,$L$7:$M$9,2,FALSE)+1,FALSE)/VLOOKUP(DATE(YEAR($B68),MONTH($B68)-1,1),Índices!$B$6:$F$500,VLOOKUP(F$54,$L$7:$M$9,2,FALSE)+1,FALSE)*E68</f>
        <v>-0.86930596527563775</v>
      </c>
      <c r="G68" s="207">
        <f ca="1">Encargos!E31</f>
        <v>-8.7120506139267491</v>
      </c>
      <c r="H68" s="225">
        <f ca="1">VLOOKUP($B$48,Índices!$B$6:$F$500,VLOOKUP(H$54,$L$7:$M$9,2,FALSE)+1,FALSE)/VLOOKUP(DATE(YEAR($B68),MONTH($B68)-1,1),Índices!$B$6:$F$500,VLOOKUP(H$54,$L$7:$M$9,2,FALSE)+1,FALSE)*G68</f>
        <v>-9.4723766485646284</v>
      </c>
      <c r="I68" s="207">
        <f ca="1">Encargos!F31</f>
        <v>-146.93473465360876</v>
      </c>
      <c r="J68" s="225">
        <f ca="1">VLOOKUP($B$48,Índices!$B$6:$F$500,VLOOKUP(J$54,$L$7:$M$9,2,FALSE)+1,FALSE)/VLOOKUP(DATE(YEAR($B68),MONTH($B68)-1,1),Índices!$B$6:$F$500,VLOOKUP(J$54,$L$7:$M$9,2,FALSE)+1,FALSE)*I68</f>
        <v>-159.75815695686751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-0.18457635765935265</v>
      </c>
      <c r="N68" s="225">
        <f ca="1">VLOOKUP($B$48,Índices!$B$6:$F$500,VLOOKUP(N$54,$L$7:$M$9,2,FALSE)+1,FALSE)/VLOOKUP(DATE(YEAR($B68),MONTH($B68)-1,1),Índices!$B$6:$F$500,VLOOKUP(N$54,$L$7:$M$9,2,FALSE)+1,FALSE)*M68</f>
        <v>-0.20068487404959257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53.850349887377888</v>
      </c>
      <c r="F69" s="99">
        <f ca="1">VLOOKUP($B$79,Índices!$B$6:$F$500,VLOOKUP(F$54,$L$7:$M$9,2,FALSE)+1,FALSE)/VLOOKUP(DATE(YEAR($B69),MONTH($B69)-1,1),Índices!$B$6:$F$500,VLOOKUP(F$54,$L$7:$M$9,2,FALSE)+1,FALSE)*E69</f>
        <v>57.878655849132507</v>
      </c>
      <c r="G69" s="207">
        <f ca="1">Encargos!E32</f>
        <v>6.1362547053788603</v>
      </c>
      <c r="H69" s="225">
        <f ca="1">VLOOKUP($B$48,Índices!$B$6:$F$500,VLOOKUP(H$54,$L$7:$M$9,2,FALSE)+1,FALSE)/VLOOKUP(DATE(YEAR($B69),MONTH($B69)-1,1),Índices!$B$6:$F$500,VLOOKUP(H$54,$L$7:$M$9,2,FALSE)+1,FALSE)*G69</f>
        <v>6.5952807184729068</v>
      </c>
      <c r="I69" s="207">
        <f ca="1">Encargos!F32</f>
        <v>557.80273695724463</v>
      </c>
      <c r="J69" s="225">
        <f ca="1">VLOOKUP($B$48,Índices!$B$6:$F$500,VLOOKUP(J$54,$L$7:$M$9,2,FALSE)+1,FALSE)/VLOOKUP(DATE(YEAR($B69),MONTH($B69)-1,1),Índices!$B$6:$F$500,VLOOKUP(J$54,$L$7:$M$9,2,FALSE)+1,FALSE)*I69</f>
        <v>599.52948702418507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100.58068690710479</v>
      </c>
      <c r="N69" s="225">
        <f ca="1">VLOOKUP($B$48,Índices!$B$6:$F$500,VLOOKUP(N$54,$L$7:$M$9,2,FALSE)+1,FALSE)/VLOOKUP(DATE(YEAR($B69),MONTH($B69)-1,1),Índices!$B$6:$F$500,VLOOKUP(N$54,$L$7:$M$9,2,FALSE)+1,FALSE)*M69</f>
        <v>108.10468223030387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110.18070344204352</v>
      </c>
      <c r="F70" s="99">
        <f ca="1">VLOOKUP($B$79,Índices!$B$6:$F$500,VLOOKUP(F$54,$L$7:$M$9,2,FALSE)+1,FALSE)/VLOOKUP(DATE(YEAR($B70),MONTH($B70)-1,1),Índices!$B$6:$F$500,VLOOKUP(F$54,$L$7:$M$9,2,FALSE)+1,FALSE)*E70</f>
        <v>116.96087416981422</v>
      </c>
      <c r="G70" s="207">
        <f ca="1">Encargos!E33</f>
        <v>21.047952301630744</v>
      </c>
      <c r="H70" s="225">
        <f ca="1">VLOOKUP($B$48,Índices!$B$6:$F$500,VLOOKUP(H$54,$L$7:$M$9,2,FALSE)+1,FALSE)/VLOOKUP(DATE(YEAR($B70),MONTH($B70)-1,1),Índices!$B$6:$F$500,VLOOKUP(H$54,$L$7:$M$9,2,FALSE)+1,FALSE)*G70</f>
        <v>22.343176470807492</v>
      </c>
      <c r="I70" s="207">
        <f ca="1">Encargos!F33</f>
        <v>1287.1578932144184</v>
      </c>
      <c r="J70" s="225">
        <f ca="1">VLOOKUP($B$48,Índices!$B$6:$F$500,VLOOKUP(J$54,$L$7:$M$9,2,FALSE)+1,FALSE)/VLOOKUP(DATE(YEAR($B70),MONTH($B70)-1,1),Índices!$B$6:$F$500,VLOOKUP(J$54,$L$7:$M$9,2,FALSE)+1,FALSE)*I70</f>
        <v>1366.3655039570924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205.93691897608915</v>
      </c>
      <c r="N70" s="225">
        <f ca="1">VLOOKUP($B$48,Índices!$B$6:$F$500,VLOOKUP(N$54,$L$7:$M$9,2,FALSE)+1,FALSE)/VLOOKUP(DATE(YEAR($B70),MONTH($B70)-1,1),Índices!$B$6:$F$500,VLOOKUP(N$54,$L$7:$M$9,2,FALSE)+1,FALSE)*M70</f>
        <v>218.60962323544641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342.61522299283206</v>
      </c>
      <c r="F71" s="99">
        <f ca="1">VLOOKUP($B$79,Índices!$B$6:$F$500,VLOOKUP(F$54,$L$7:$M$9,2,FALSE)+1,FALSE)/VLOOKUP(DATE(YEAR($B71),MONTH($B71)-1,1),Índices!$B$6:$F$500,VLOOKUP(F$54,$L$7:$M$9,2,FALSE)+1,FALSE)*E71</f>
        <v>360.27580731113915</v>
      </c>
      <c r="G71" s="207">
        <f ca="1">Encargos!E34</f>
        <v>32.514250054623972</v>
      </c>
      <c r="H71" s="225">
        <f ca="1">VLOOKUP($B$48,Índices!$B$6:$F$500,VLOOKUP(H$54,$L$7:$M$9,2,FALSE)+1,FALSE)/VLOOKUP(DATE(YEAR($B71),MONTH($B71)-1,1),Índices!$B$6:$F$500,VLOOKUP(H$54,$L$7:$M$9,2,FALSE)+1,FALSE)*G71</f>
        <v>34.19024287718522</v>
      </c>
      <c r="I71" s="207">
        <f ca="1">Encargos!F34</f>
        <v>3462.4230683865244</v>
      </c>
      <c r="J71" s="225">
        <f ca="1">VLOOKUP($B$48,Índices!$B$6:$F$500,VLOOKUP(J$54,$L$7:$M$9,2,FALSE)+1,FALSE)/VLOOKUP(DATE(YEAR($B71),MONTH($B71)-1,1),Índices!$B$6:$F$500,VLOOKUP(J$54,$L$7:$M$9,2,FALSE)+1,FALSE)*I71</f>
        <v>3640.8985430334028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643.77324148319985</v>
      </c>
      <c r="N71" s="225">
        <f ca="1">VLOOKUP($B$48,Índices!$B$6:$F$500,VLOOKUP(N$54,$L$7:$M$9,2,FALSE)+1,FALSE)/VLOOKUP(DATE(YEAR($B71),MONTH($B71)-1,1),Índices!$B$6:$F$500,VLOOKUP(N$54,$L$7:$M$9,2,FALSE)+1,FALSE)*M71</f>
        <v>676.95744011211423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453.65956667150112</v>
      </c>
      <c r="F72" s="99">
        <f ca="1">VLOOKUP($B$79,Índices!$B$6:$F$500,VLOOKUP(F$54,$L$7:$M$9,2,FALSE)+1,FALSE)/VLOOKUP(DATE(YEAR($B72),MONTH($B72)-1,1),Índices!$B$6:$F$500,VLOOKUP(F$54,$L$7:$M$9,2,FALSE)+1,FALSE)*E72</f>
        <v>473.58710003865224</v>
      </c>
      <c r="G72" s="207">
        <f ca="1">Encargos!E35</f>
        <v>63.680560357655963</v>
      </c>
      <c r="H72" s="225">
        <f ca="1">VLOOKUP($B$48,Índices!$B$6:$F$500,VLOOKUP(H$54,$L$7:$M$9,2,FALSE)+1,FALSE)/VLOOKUP(DATE(YEAR($B72),MONTH($B72)-1,1),Índices!$B$6:$F$500,VLOOKUP(H$54,$L$7:$M$9,2,FALSE)+1,FALSE)*G72</f>
        <v>66.4778043366085</v>
      </c>
      <c r="I72" s="207">
        <f ca="1">Encargos!F35</f>
        <v>4936.7275079337924</v>
      </c>
      <c r="J72" s="225">
        <f ca="1">VLOOKUP($B$48,Índices!$B$6:$F$500,VLOOKUP(J$54,$L$7:$M$9,2,FALSE)+1,FALSE)/VLOOKUP(DATE(YEAR($B72),MONTH($B72)-1,1),Índices!$B$6:$F$500,VLOOKUP(J$54,$L$7:$M$9,2,FALSE)+1,FALSE)*I72</f>
        <v>5153.5791062824701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852.43663713496881</v>
      </c>
      <c r="N72" s="225">
        <f ca="1">VLOOKUP($B$48,Índices!$B$6:$F$500,VLOOKUP(N$54,$L$7:$M$9,2,FALSE)+1,FALSE)/VLOOKUP(DATE(YEAR($B72),MONTH($B72)-1,1),Índices!$B$6:$F$500,VLOOKUP(N$54,$L$7:$M$9,2,FALSE)+1,FALSE)*M72</f>
        <v>889.88092527050287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-196.53940543321323</v>
      </c>
      <c r="F73" s="99">
        <f ca="1">VLOOKUP($B$79,Índices!$B$6:$F$500,VLOOKUP(F$54,$L$7:$M$9,2,FALSE)+1,FALSE)/VLOOKUP(DATE(YEAR($B73),MONTH($B73)-1,1),Índices!$B$6:$F$500,VLOOKUP(F$54,$L$7:$M$9,2,FALSE)+1,FALSE)*E73</f>
        <v>-204.07059074222755</v>
      </c>
      <c r="G73" s="207">
        <f ca="1">Encargos!E36</f>
        <v>-56.206337847849341</v>
      </c>
      <c r="H73" s="225">
        <f ca="1">VLOOKUP($B$48,Índices!$B$6:$F$500,VLOOKUP(H$54,$L$7:$M$9,2,FALSE)+1,FALSE)/VLOOKUP(DATE(YEAR($B73),MONTH($B73)-1,1),Índices!$B$6:$F$500,VLOOKUP(H$54,$L$7:$M$9,2,FALSE)+1,FALSE)*G73</f>
        <v>-58.36010617201913</v>
      </c>
      <c r="I73" s="207">
        <f ca="1">Encargos!F36</f>
        <v>-2586.7604485679913</v>
      </c>
      <c r="J73" s="225">
        <f ca="1">VLOOKUP($B$48,Índices!$B$6:$F$500,VLOOKUP(J$54,$L$7:$M$9,2,FALSE)+1,FALSE)/VLOOKUP(DATE(YEAR($B73),MONTH($B73)-1,1),Índices!$B$6:$F$500,VLOOKUP(J$54,$L$7:$M$9,2,FALSE)+1,FALSE)*I73</f>
        <v>-2685.8824146961251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-363.0638157334115</v>
      </c>
      <c r="N73" s="225">
        <f ca="1">VLOOKUP($B$48,Índices!$B$6:$F$500,VLOOKUP(N$54,$L$7:$M$9,2,FALSE)+1,FALSE)/VLOOKUP(DATE(YEAR($B73),MONTH($B73)-1,1),Índices!$B$6:$F$500,VLOOKUP(N$54,$L$7:$M$9,2,FALSE)+1,FALSE)*M73</f>
        <v>-376.97604300030076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-288.05489089496541</v>
      </c>
      <c r="F74" s="99">
        <f ca="1">VLOOKUP($B$79,Índices!$B$6:$F$500,VLOOKUP(F$54,$L$7:$M$9,2,FALSE)+1,FALSE)/VLOOKUP(DATE(YEAR($B74),MONTH($B74)-1,1),Índices!$B$6:$F$500,VLOOKUP(F$54,$L$7:$M$9,2,FALSE)+1,FALSE)*E74</f>
        <v>-296.10204123929532</v>
      </c>
      <c r="G74" s="207">
        <f ca="1">Encargos!E37</f>
        <v>-45.570453074290072</v>
      </c>
      <c r="H74" s="225">
        <f ca="1">VLOOKUP($B$48,Índices!$B$6:$F$500,VLOOKUP(H$54,$L$7:$M$9,2,FALSE)+1,FALSE)/VLOOKUP(DATE(YEAR($B74),MONTH($B74)-1,1),Índices!$B$6:$F$500,VLOOKUP(H$54,$L$7:$M$9,2,FALSE)+1,FALSE)*G74</f>
        <v>-46.843516989326176</v>
      </c>
      <c r="I74" s="207">
        <f ca="1">Encargos!F37</f>
        <v>-3150.8202972398576</v>
      </c>
      <c r="J74" s="225">
        <f ca="1">VLOOKUP($B$48,Índices!$B$6:$F$500,VLOOKUP(J$54,$L$7:$M$9,2,FALSE)+1,FALSE)/VLOOKUP(DATE(YEAR($B74),MONTH($B74)-1,1),Índices!$B$6:$F$500,VLOOKUP(J$54,$L$7:$M$9,2,FALSE)+1,FALSE)*I74</f>
        <v>-3238.8421480790462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-530.22049989013794</v>
      </c>
      <c r="N74" s="225">
        <f ca="1">VLOOKUP($B$48,Índices!$B$6:$F$500,VLOOKUP(N$54,$L$7:$M$9,2,FALSE)+1,FALSE)/VLOOKUP(DATE(YEAR($B74),MONTH($B74)-1,1),Índices!$B$6:$F$500,VLOOKUP(N$54,$L$7:$M$9,2,FALSE)+1,FALSE)*M74</f>
        <v>-545.03282980755466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550.92245733233631</v>
      </c>
      <c r="F75" s="99">
        <f ca="1">VLOOKUP($B$79,Índices!$B$6:$F$500,VLOOKUP(F$54,$L$7:$M$9,2,FALSE)+1,FALSE)/VLOOKUP(DATE(YEAR($B75),MONTH($B75)-1,1),Índices!$B$6:$F$500,VLOOKUP(F$54,$L$7:$M$9,2,FALSE)+1,FALSE)*E75</f>
        <v>557.28482740892366</v>
      </c>
      <c r="G75" s="207">
        <f ca="1">Encargos!E38</f>
        <v>88.397439440861945</v>
      </c>
      <c r="H75" s="225">
        <f ca="1">VLOOKUP($B$48,Índices!$B$6:$F$500,VLOOKUP(H$54,$L$7:$M$9,2,FALSE)+1,FALSE)/VLOOKUP(DATE(YEAR($B75),MONTH($B75)-1,1),Índices!$B$6:$F$500,VLOOKUP(H$54,$L$7:$M$9,2,FALSE)+1,FALSE)*G75</f>
        <v>89.418304021820958</v>
      </c>
      <c r="I75" s="207">
        <f ca="1">Encargos!F38</f>
        <v>6238.1167061506712</v>
      </c>
      <c r="J75" s="225">
        <f ca="1">VLOOKUP($B$48,Índices!$B$6:$F$500,VLOOKUP(J$54,$L$7:$M$9,2,FALSE)+1,FALSE)/VLOOKUP(DATE(YEAR($B75),MONTH($B75)-1,1),Índices!$B$6:$F$500,VLOOKUP(J$54,$L$7:$M$9,2,FALSE)+1,FALSE)*I75</f>
        <v>6310.1580733834671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1043.5658677570764</v>
      </c>
      <c r="N75" s="225">
        <f ca="1">VLOOKUP($B$48,Índices!$B$6:$F$500,VLOOKUP(N$54,$L$7:$M$9,2,FALSE)+1,FALSE)/VLOOKUP(DATE(YEAR($B75),MONTH($B75)-1,1),Índices!$B$6:$F$500,VLOOKUP(N$54,$L$7:$M$9,2,FALSE)+1,FALSE)*M75</f>
        <v>1055.6175678858303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170.49300815782226</v>
      </c>
      <c r="F76" s="99">
        <f ca="1">VLOOKUP($B$79,Índices!$B$6:$F$500,VLOOKUP(F$54,$L$7:$M$9,2,FALSE)+1,FALSE)/VLOOKUP(DATE(YEAR($B76),MONTH($B76)-1,1),Índices!$B$6:$F$500,VLOOKUP(F$54,$L$7:$M$9,2,FALSE)+1,FALSE)*E76</f>
        <v>170.65300695442585</v>
      </c>
      <c r="G76" s="207">
        <f ca="1">Encargos!E39</f>
        <v>36.052378213165866</v>
      </c>
      <c r="H76" s="225">
        <f ca="1">VLOOKUP($B$48,Índices!$B$6:$F$500,VLOOKUP(H$54,$L$7:$M$9,2,FALSE)+1,FALSE)/VLOOKUP(DATE(YEAR($B76),MONTH($B76)-1,1),Índices!$B$6:$F$500,VLOOKUP(H$54,$L$7:$M$9,2,FALSE)+1,FALSE)*G76</f>
        <v>36.086211489915051</v>
      </c>
      <c r="I76" s="207">
        <f ca="1">Encargos!F39</f>
        <v>2149.5006184461454</v>
      </c>
      <c r="J76" s="225">
        <f ca="1">VLOOKUP($B$48,Índices!$B$6:$F$500,VLOOKUP(J$54,$L$7:$M$9,2,FALSE)+1,FALSE)/VLOOKUP(DATE(YEAR($B76),MONTH($B76)-1,1),Índices!$B$6:$F$500,VLOOKUP(J$54,$L$7:$M$9,2,FALSE)+1,FALSE)*I76</f>
        <v>2151.5178126757864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333.86070274709346</v>
      </c>
      <c r="N76" s="225">
        <f ca="1">VLOOKUP($B$48,Índices!$B$6:$F$500,VLOOKUP(N$54,$L$7:$M$9,2,FALSE)+1,FALSE)/VLOOKUP(DATE(YEAR($B76),MONTH($B76)-1,1),Índices!$B$6:$F$500,VLOOKUP(N$54,$L$7:$M$9,2,FALSE)+1,FALSE)*M76</f>
        <v>334.17401360511599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167.31131905920574</v>
      </c>
      <c r="F77" s="99">
        <f ca="1">VLOOKUP($B$79,Índices!$B$6:$F$500,VLOOKUP(F$54,$L$7:$M$9,2,FALSE)+1,FALSE)/VLOOKUP(DATE(YEAR($B77),MONTH($B77)-1,1),Índices!$B$6:$F$500,VLOOKUP(F$54,$L$7:$M$9,2,FALSE)+1,FALSE)*E77</f>
        <v>166.68490085543277</v>
      </c>
      <c r="G77" s="207">
        <f ca="1">Encargos!E40</f>
        <v>6.1747095841008104</v>
      </c>
      <c r="H77" s="225">
        <f ca="1">VLOOKUP($B$48,Índices!$B$6:$F$500,VLOOKUP(H$54,$L$7:$M$9,2,FALSE)+1,FALSE)/VLOOKUP(DATE(YEAR($B77),MONTH($B77)-1,1),Índices!$B$6:$F$500,VLOOKUP(H$54,$L$7:$M$9,2,FALSE)+1,FALSE)*G77</f>
        <v>6.1515913007220071</v>
      </c>
      <c r="I77" s="207">
        <f ca="1">Encargos!F40</f>
        <v>1710.2200049026142</v>
      </c>
      <c r="J77" s="225">
        <f ca="1">VLOOKUP($B$48,Índices!$B$6:$F$500,VLOOKUP(J$54,$L$7:$M$9,2,FALSE)+1,FALSE)/VLOOKUP(DATE(YEAR($B77),MONTH($B77)-1,1),Índices!$B$6:$F$500,VLOOKUP(J$54,$L$7:$M$9,2,FALSE)+1,FALSE)*I77</f>
        <v>1703.8168939263114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342.96584151367006</v>
      </c>
      <c r="N77" s="225">
        <f ca="1">VLOOKUP($B$48,Índices!$B$6:$F$500,VLOOKUP(N$54,$L$7:$M$9,2,FALSE)+1,FALSE)/VLOOKUP(DATE(YEAR($B77),MONTH($B77)-1,1),Índices!$B$6:$F$500,VLOOKUP(N$54,$L$7:$M$9,2,FALSE)+1,FALSE)*M77</f>
        <v>341.68176792196971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303.53161055131886</v>
      </c>
      <c r="F78" s="99">
        <f ca="1">VLOOKUP($B$79,Índices!$B$6:$F$500,VLOOKUP(F$54,$L$7:$M$9,2,FALSE)+1,FALSE)/VLOOKUP(DATE(YEAR($B78),MONTH($B78)-1,1),Índices!$B$6:$F$500,VLOOKUP(F$54,$L$7:$M$9,2,FALSE)+1,FALSE)*E78</f>
        <v>300.38244393890881</v>
      </c>
      <c r="G78" s="207">
        <f ca="1">Encargos!E41</f>
        <v>41.251368289014181</v>
      </c>
      <c r="H78" s="225">
        <f ca="1">VLOOKUP($B$48,Índices!$B$6:$F$500,VLOOKUP(H$54,$L$7:$M$9,2,FALSE)+1,FALSE)/VLOOKUP(DATE(YEAR($B78),MONTH($B78)-1,1),Índices!$B$6:$F$500,VLOOKUP(H$54,$L$7:$M$9,2,FALSE)+1,FALSE)*G78</f>
        <v>40.823381788708538</v>
      </c>
      <c r="I78" s="207">
        <f ca="1">Encargos!F41</f>
        <v>3443.8521856086954</v>
      </c>
      <c r="J78" s="225">
        <f ca="1">VLOOKUP($B$48,Índices!$B$6:$F$500,VLOOKUP(J$54,$L$7:$M$9,2,FALSE)+1,FALSE)/VLOOKUP(DATE(YEAR($B78),MONTH($B78)-1,1),Índices!$B$6:$F$500,VLOOKUP(J$54,$L$7:$M$9,2,FALSE)+1,FALSE)*I78</f>
        <v>3408.1219224532515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595.68067592972693</v>
      </c>
      <c r="N78" s="225">
        <f ca="1">VLOOKUP($B$48,Índices!$B$6:$F$500,VLOOKUP(N$54,$L$7:$M$9,2,FALSE)+1,FALSE)/VLOOKUP(DATE(YEAR($B78),MONTH($B78)-1,1),Índices!$B$6:$F$500,VLOOKUP(N$54,$L$7:$M$9,2,FALSE)+1,FALSE)*M78</f>
        <v>589.50043759182051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-4.0448265001427899</v>
      </c>
      <c r="F79" s="99">
        <f ca="1">VLOOKUP($B$79,Índices!$B$6:$F$500,VLOOKUP(F$54,$L$7:$M$9,2,FALSE)+1,FALSE)/VLOOKUP(DATE(YEAR($B79),MONTH($B79)-1,1),Índices!$B$6:$F$500,VLOOKUP(F$54,$L$7:$M$9,2,FALSE)+1,FALSE)*E79</f>
        <v>-4.03026702983761</v>
      </c>
      <c r="G79" s="207">
        <f ca="1">Encargos!E42</f>
        <v>-13.927880350617897</v>
      </c>
      <c r="H79" s="225">
        <f ca="1">VLOOKUP($B$48,Índices!$B$6:$F$500,VLOOKUP(H$54,$L$7:$M$9,2,FALSE)+1,FALSE)/VLOOKUP(DATE(YEAR($B79),MONTH($B79)-1,1),Índices!$B$6:$F$500,VLOOKUP(H$54,$L$7:$M$9,2,FALSE)+1,FALSE)*G79</f>
        <v>-13.87774654132552</v>
      </c>
      <c r="I79" s="207">
        <f ca="1">Encargos!F42</f>
        <v>-91.678782357164891</v>
      </c>
      <c r="J79" s="225">
        <f ca="1">VLOOKUP($B$48,Índices!$B$6:$F$500,VLOOKUP(J$54,$L$7:$M$9,2,FALSE)+1,FALSE)/VLOOKUP(DATE(YEAR($B79),MONTH($B79)-1,1),Índices!$B$6:$F$500,VLOOKUP(J$54,$L$7:$M$9,2,FALSE)+1,FALSE)*I79</f>
        <v>-91.348781920978809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20.269358138310054</v>
      </c>
      <c r="N79" s="225">
        <f ca="1">VLOOKUP($B$48,Índices!$B$6:$F$500,VLOOKUP(N$54,$L$7:$M$9,2,FALSE)+1,FALSE)/VLOOKUP(DATE(YEAR($B79),MONTH($B79)-1,1),Índices!$B$6:$F$500,VLOOKUP(N$54,$L$7:$M$9,2,FALSE)+1,FALSE)*M79</f>
        <v>20.196397995789884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3">
        <f ca="1">SUM(C56:C79)</f>
        <v>0</v>
      </c>
      <c r="D80" s="1384">
        <f ca="1">SUM(D56:D79)</f>
        <v>0</v>
      </c>
      <c r="E80" s="1383">
        <f ca="1">SUM(E56:E79)</f>
        <v>1663.1255865048083</v>
      </c>
      <c r="F80" s="1384">
        <f ca="1">SUM(F56:F79)</f>
        <v>1698.6354115497932</v>
      </c>
      <c r="G80" s="1383">
        <f ca="1">SUM(G55:G79)</f>
        <v>170.83819105974828</v>
      </c>
      <c r="H80" s="1383">
        <f t="shared" ref="H80:N80" ca="1" si="7">SUM(H55:H79)</f>
        <v>173.53224665300522</v>
      </c>
      <c r="I80" s="1383">
        <f t="shared" ca="1" si="7"/>
        <v>17809.606458781484</v>
      </c>
      <c r="J80" s="1383">
        <f t="shared" ca="1" si="7"/>
        <v>18158.155841082949</v>
      </c>
      <c r="K80" s="1383">
        <f t="shared" ca="1" si="7"/>
        <v>0</v>
      </c>
      <c r="L80" s="1383">
        <f t="shared" ca="1" si="7"/>
        <v>0</v>
      </c>
      <c r="M80" s="1383">
        <f t="shared" ca="1" si="7"/>
        <v>3245.6010386060307</v>
      </c>
      <c r="N80" s="1383">
        <f t="shared" ca="1" si="7"/>
        <v>3312.513298166989</v>
      </c>
      <c r="O80" s="1383">
        <f t="shared" ref="O80:R80" ca="1" si="8">SUM(O55:O79)</f>
        <v>0</v>
      </c>
      <c r="P80" s="1383">
        <f t="shared" ca="1" si="8"/>
        <v>0</v>
      </c>
      <c r="Q80" s="1383">
        <f t="shared" ca="1" si="8"/>
        <v>0</v>
      </c>
      <c r="R80" s="1383">
        <f t="shared" ca="1" si="8"/>
        <v>0</v>
      </c>
      <c r="S80" s="1383">
        <f t="shared" ref="S80:X80" si="9">SUM(S55:S79)</f>
        <v>0</v>
      </c>
      <c r="T80" s="1383">
        <f t="shared" si="9"/>
        <v>0</v>
      </c>
      <c r="U80" s="1383">
        <f t="shared" si="9"/>
        <v>0</v>
      </c>
      <c r="V80" s="1386">
        <f t="shared" si="9"/>
        <v>0</v>
      </c>
      <c r="W80" s="1383">
        <f t="shared" si="9"/>
        <v>0</v>
      </c>
      <c r="X80" s="1386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192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961</v>
      </c>
      <c r="O1" s="9" t="s">
        <v>875</v>
      </c>
      <c r="P1" s="9" t="s">
        <v>1387</v>
      </c>
      <c r="Q1" s="8" t="s">
        <v>869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960</v>
      </c>
      <c r="C1" t="s">
        <v>1389</v>
      </c>
      <c r="D1" t="s">
        <v>879</v>
      </c>
      <c r="E1" t="s">
        <v>1390</v>
      </c>
      <c r="F1" t="s">
        <v>58</v>
      </c>
      <c r="G1" t="s">
        <v>524</v>
      </c>
      <c r="H1" t="s">
        <v>961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971</v>
      </c>
      <c r="O1" t="s">
        <v>1394</v>
      </c>
      <c r="P1" t="s">
        <v>1395</v>
      </c>
      <c r="Q1" t="s">
        <v>1396</v>
      </c>
      <c r="R1" t="s">
        <v>1397</v>
      </c>
      <c r="S1" t="s">
        <v>192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Normal="100" workbookViewId="0">
      <pane xSplit="1" ySplit="6" topLeftCell="B372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7" t="s">
        <v>1400</v>
      </c>
      <c r="D2" s="3" t="s">
        <v>1401</v>
      </c>
    </row>
    <row r="3" spans="2:15">
      <c r="B3" s="5"/>
    </row>
    <row r="6" spans="2:15">
      <c r="B6" s="1388" t="s">
        <v>1402</v>
      </c>
      <c r="C6" s="1388" t="s">
        <v>1403</v>
      </c>
      <c r="D6" s="1388" t="s">
        <v>772</v>
      </c>
      <c r="E6" s="6" t="s">
        <v>1404</v>
      </c>
      <c r="F6" s="6" t="s">
        <v>1405</v>
      </c>
      <c r="G6" s="1389" t="s">
        <v>1406</v>
      </c>
      <c r="K6" s="1471" t="s">
        <v>2124</v>
      </c>
      <c r="L6" s="1472" t="s">
        <v>37</v>
      </c>
      <c r="M6" s="1473" t="s">
        <v>2125</v>
      </c>
      <c r="N6" s="1472" t="s">
        <v>1322</v>
      </c>
      <c r="O6" s="1474" t="s">
        <v>2126</v>
      </c>
    </row>
    <row r="7" spans="2:15">
      <c r="B7" s="1390">
        <v>32629</v>
      </c>
      <c r="C7" s="1391">
        <v>2.5789999999999999E-5</v>
      </c>
      <c r="D7" s="1391">
        <v>3.4132578959999998E-4</v>
      </c>
      <c r="E7" s="1391">
        <v>0</v>
      </c>
      <c r="F7" s="1391">
        <v>1</v>
      </c>
      <c r="K7" s="1475">
        <v>42064</v>
      </c>
      <c r="L7" s="1476"/>
      <c r="M7" s="1477">
        <v>0</v>
      </c>
      <c r="N7" s="1478">
        <v>1</v>
      </c>
      <c r="O7" s="1478">
        <v>1</v>
      </c>
    </row>
    <row r="8" spans="2:15">
      <c r="B8" s="1390">
        <v>32660</v>
      </c>
      <c r="C8" s="1391">
        <v>3.0859999999999999E-5</v>
      </c>
      <c r="D8" s="1391">
        <v>4.3911559890000003E-4</v>
      </c>
      <c r="E8" s="1391">
        <v>0</v>
      </c>
      <c r="F8" s="1391">
        <v>1</v>
      </c>
      <c r="G8" s="10"/>
      <c r="K8" s="1475">
        <v>42065</v>
      </c>
      <c r="L8" s="1476" t="s">
        <v>2127</v>
      </c>
      <c r="M8" s="1477">
        <v>4.5512999999999998E-2</v>
      </c>
      <c r="N8" s="1478">
        <v>1.00045513</v>
      </c>
      <c r="O8" s="1478">
        <v>1.00045513</v>
      </c>
    </row>
    <row r="9" spans="2:15">
      <c r="B9" s="1390">
        <v>32690</v>
      </c>
      <c r="C9" s="1391">
        <v>4.1940000000000002E-5</v>
      </c>
      <c r="D9" s="1391">
        <v>5.6092617030000002E-4</v>
      </c>
      <c r="E9" s="1391">
        <v>0</v>
      </c>
      <c r="F9" s="1391">
        <v>1</v>
      </c>
      <c r="K9" s="1475">
        <v>42066</v>
      </c>
      <c r="L9" s="1476" t="s">
        <v>2127</v>
      </c>
      <c r="M9" s="1477">
        <v>4.5512999999999998E-2</v>
      </c>
      <c r="N9" s="1478">
        <v>1.0009104671433169</v>
      </c>
      <c r="O9" s="1478">
        <v>1.0009104671433169</v>
      </c>
    </row>
    <row r="10" spans="2:15">
      <c r="B10" s="1390">
        <v>32721</v>
      </c>
      <c r="C10" s="1391">
        <v>5.7429999999999997E-5</v>
      </c>
      <c r="D10" s="1391">
        <v>7.5001448160000002E-4</v>
      </c>
      <c r="E10" s="1391">
        <v>0</v>
      </c>
      <c r="F10" s="1391">
        <v>1</v>
      </c>
      <c r="K10" s="1475">
        <v>42067</v>
      </c>
      <c r="L10" s="1476" t="s">
        <v>2127</v>
      </c>
      <c r="M10" s="1477">
        <v>4.5512999999999998E-2</v>
      </c>
      <c r="N10" s="1478">
        <v>1.0013660115242278</v>
      </c>
      <c r="O10" s="1478">
        <v>1.0013660115242278</v>
      </c>
    </row>
    <row r="11" spans="2:15">
      <c r="B11" s="1390">
        <v>32752</v>
      </c>
      <c r="C11" s="1391">
        <v>8.0350000000000001E-5</v>
      </c>
      <c r="D11" s="1391">
        <v>1.031719911E-3</v>
      </c>
      <c r="E11" s="1391">
        <v>0</v>
      </c>
      <c r="F11" s="1391">
        <v>1</v>
      </c>
      <c r="K11" s="1475">
        <v>42068</v>
      </c>
      <c r="L11" s="1476" t="s">
        <v>2127</v>
      </c>
      <c r="M11" s="1477">
        <v>4.7279000000000002E-2</v>
      </c>
      <c r="N11" s="1478">
        <v>1.0018394473608161</v>
      </c>
      <c r="O11" s="1478">
        <v>1.0018394473608161</v>
      </c>
    </row>
    <row r="12" spans="2:15">
      <c r="B12" s="1390">
        <v>32782</v>
      </c>
      <c r="C12" s="1391">
        <v>1.13E-4</v>
      </c>
      <c r="D12" s="1391">
        <v>1.4420348808E-3</v>
      </c>
      <c r="E12" s="1391">
        <v>0</v>
      </c>
      <c r="F12" s="1391">
        <v>1</v>
      </c>
      <c r="K12" s="1475">
        <v>42069</v>
      </c>
      <c r="L12" s="1476" t="s">
        <v>2127</v>
      </c>
      <c r="M12" s="1477">
        <v>4.7279000000000002E-2</v>
      </c>
      <c r="N12" s="1478">
        <v>1.0023131070331337</v>
      </c>
      <c r="O12" s="1478">
        <v>1.0023131070331337</v>
      </c>
    </row>
    <row r="13" spans="2:15">
      <c r="B13" s="1390">
        <v>32813</v>
      </c>
      <c r="C13" s="1391">
        <v>1.5873999999999999E-4</v>
      </c>
      <c r="D13" s="1391">
        <v>2.1316159802999999E-3</v>
      </c>
      <c r="E13" s="1391">
        <v>0</v>
      </c>
      <c r="F13" s="1391">
        <v>1</v>
      </c>
      <c r="K13" s="1475">
        <v>42070</v>
      </c>
      <c r="L13" s="1476"/>
      <c r="M13" s="1477">
        <v>0</v>
      </c>
      <c r="N13" s="1478">
        <v>1.0023131070331337</v>
      </c>
      <c r="O13" s="1478">
        <v>1.0023131070331337</v>
      </c>
    </row>
    <row r="14" spans="2:15">
      <c r="B14" s="1390">
        <v>32843</v>
      </c>
      <c r="C14" s="1391">
        <v>2.3356000000000001E-4</v>
      </c>
      <c r="D14" s="1391">
        <v>3.2293981927000001E-3</v>
      </c>
      <c r="E14" s="1391">
        <v>0</v>
      </c>
      <c r="F14" s="1391">
        <v>1</v>
      </c>
      <c r="K14" s="1475">
        <v>42071</v>
      </c>
      <c r="L14" s="1476"/>
      <c r="M14" s="1477">
        <v>0</v>
      </c>
      <c r="N14" s="1478">
        <v>1.0023131070331337</v>
      </c>
      <c r="O14" s="1478">
        <v>1.0023131070331337</v>
      </c>
    </row>
    <row r="15" spans="2:15">
      <c r="B15" s="1390">
        <v>32874</v>
      </c>
      <c r="C15" s="1391">
        <v>3.7711E-4</v>
      </c>
      <c r="D15" s="1391">
        <v>5.4108567453999999E-3</v>
      </c>
      <c r="E15" s="1391">
        <v>0</v>
      </c>
      <c r="F15" s="1391">
        <v>1</v>
      </c>
      <c r="K15" s="1475">
        <v>42072</v>
      </c>
      <c r="L15" s="1476" t="s">
        <v>2127</v>
      </c>
      <c r="M15" s="1477">
        <v>4.7279000000000002E-2</v>
      </c>
      <c r="N15" s="1478">
        <v>1.0027869906470077</v>
      </c>
      <c r="O15" s="1478">
        <v>1.0027869906470077</v>
      </c>
    </row>
    <row r="16" spans="2:15">
      <c r="B16" s="1390">
        <v>32905</v>
      </c>
      <c r="C16" s="1391">
        <v>6.8364999999999995E-4</v>
      </c>
      <c r="D16" s="1391">
        <v>9.5084984832999996E-3</v>
      </c>
      <c r="E16" s="1391">
        <v>0</v>
      </c>
      <c r="F16" s="1391">
        <v>1</v>
      </c>
      <c r="K16" s="1475">
        <v>42073</v>
      </c>
      <c r="L16" s="1476" t="s">
        <v>2127</v>
      </c>
      <c r="M16" s="1477">
        <v>4.7279000000000002E-2</v>
      </c>
      <c r="N16" s="1478">
        <v>1.0032610983083157</v>
      </c>
      <c r="O16" s="1478">
        <v>1.0032610983083157</v>
      </c>
    </row>
    <row r="17" spans="2:15">
      <c r="B17" s="1390">
        <v>32933</v>
      </c>
      <c r="C17" s="1391">
        <v>1.2575500000000001E-3</v>
      </c>
      <c r="D17" s="1391">
        <v>1.7342550351000002E-2</v>
      </c>
      <c r="E17" s="1391">
        <v>0</v>
      </c>
      <c r="F17" s="1391">
        <v>1</v>
      </c>
      <c r="K17" s="1475">
        <v>42074</v>
      </c>
      <c r="L17" s="1476" t="s">
        <v>2127</v>
      </c>
      <c r="M17" s="1477">
        <v>4.7279000000000002E-2</v>
      </c>
      <c r="N17" s="1478">
        <v>1.0037354301229848</v>
      </c>
      <c r="O17" s="1478">
        <v>1.0037354301229848</v>
      </c>
    </row>
    <row r="18" spans="2:15">
      <c r="B18" s="1390">
        <v>32964</v>
      </c>
      <c r="C18" s="1391">
        <v>1.61407E-3</v>
      </c>
      <c r="D18" s="1391">
        <v>2.00341140678E-2</v>
      </c>
      <c r="E18" s="1391">
        <v>0</v>
      </c>
      <c r="F18" s="1391">
        <v>1</v>
      </c>
      <c r="K18" s="1475">
        <v>42075</v>
      </c>
      <c r="L18" s="1476" t="s">
        <v>2127</v>
      </c>
      <c r="M18" s="1477">
        <v>4.7279000000000002E-2</v>
      </c>
      <c r="N18" s="1478">
        <v>1.0042099861969926</v>
      </c>
      <c r="O18" s="1478">
        <v>1.0042099861969926</v>
      </c>
    </row>
    <row r="19" spans="2:15">
      <c r="B19" s="1390">
        <v>32994</v>
      </c>
      <c r="C19" s="1391">
        <v>1.70973E-3</v>
      </c>
      <c r="D19" s="1391">
        <v>2.1554703244099999E-2</v>
      </c>
      <c r="E19" s="1391">
        <v>0</v>
      </c>
      <c r="F19" s="1391">
        <v>1</v>
      </c>
      <c r="K19" s="1475">
        <v>42076</v>
      </c>
      <c r="L19" s="1476" t="s">
        <v>2127</v>
      </c>
      <c r="M19" s="1477">
        <v>4.7279000000000002E-2</v>
      </c>
      <c r="N19" s="1478">
        <v>1.0046847666363665</v>
      </c>
      <c r="O19" s="1478">
        <v>1.0046847666363665</v>
      </c>
    </row>
    <row r="20" spans="2:15">
      <c r="B20" s="1390">
        <v>33025</v>
      </c>
      <c r="C20" s="1391">
        <v>1.87962E-3</v>
      </c>
      <c r="D20" s="1391">
        <v>2.4087380951899998E-2</v>
      </c>
      <c r="E20" s="1391">
        <v>0</v>
      </c>
      <c r="F20" s="1391">
        <v>1</v>
      </c>
      <c r="K20" s="1475">
        <v>42077</v>
      </c>
      <c r="L20" s="1476"/>
      <c r="M20" s="1477">
        <v>0</v>
      </c>
      <c r="N20" s="1478">
        <v>1.0046847666363665</v>
      </c>
      <c r="O20" s="1478">
        <v>1.0046847666363665</v>
      </c>
    </row>
    <row r="21" spans="2:15">
      <c r="B21" s="1390">
        <v>33055</v>
      </c>
      <c r="C21" s="1391">
        <v>2.10539E-3</v>
      </c>
      <c r="D21" s="1391">
        <v>2.7199470492E-2</v>
      </c>
      <c r="E21" s="1391">
        <v>0</v>
      </c>
      <c r="F21" s="1391">
        <v>1</v>
      </c>
      <c r="K21" s="1475">
        <v>42078</v>
      </c>
      <c r="L21" s="1476"/>
      <c r="M21" s="1477">
        <v>0</v>
      </c>
      <c r="N21" s="1478">
        <v>1.0046847666363665</v>
      </c>
      <c r="O21" s="1478">
        <v>1.0046847666363665</v>
      </c>
    </row>
    <row r="22" spans="2:15">
      <c r="B22" s="1390">
        <v>33086</v>
      </c>
      <c r="C22" s="1391">
        <v>2.39215E-3</v>
      </c>
      <c r="D22" s="1391">
        <v>3.0702762318699998E-2</v>
      </c>
      <c r="E22" s="1391">
        <v>0</v>
      </c>
      <c r="F22" s="1391">
        <v>1</v>
      </c>
      <c r="K22" s="1475">
        <v>42079</v>
      </c>
      <c r="L22" s="1476" t="s">
        <v>2127</v>
      </c>
      <c r="M22" s="1477">
        <v>4.7279000000000002E-2</v>
      </c>
      <c r="N22" s="1478">
        <v>1.0051597715471845</v>
      </c>
      <c r="O22" s="1478">
        <v>1.0051597715471845</v>
      </c>
    </row>
    <row r="23" spans="2:15">
      <c r="B23" s="1390">
        <v>33117</v>
      </c>
      <c r="C23" s="1391">
        <v>2.6984000000000001E-3</v>
      </c>
      <c r="D23" s="1391">
        <v>3.51270304097E-2</v>
      </c>
      <c r="E23" s="1391">
        <v>0</v>
      </c>
      <c r="F23" s="1391">
        <v>1</v>
      </c>
      <c r="K23" s="1475">
        <v>42080</v>
      </c>
      <c r="L23" s="1476" t="s">
        <v>2127</v>
      </c>
      <c r="M23" s="1477">
        <v>4.7279000000000002E-2</v>
      </c>
      <c r="N23" s="1478">
        <v>1.0056350010355741</v>
      </c>
      <c r="O23" s="1478">
        <v>1.0056350010355741</v>
      </c>
    </row>
    <row r="24" spans="2:15">
      <c r="B24" s="1390">
        <v>33147</v>
      </c>
      <c r="C24" s="1391">
        <v>3.0483699999999999E-3</v>
      </c>
      <c r="D24" s="1391">
        <v>4.0171272055300002E-2</v>
      </c>
      <c r="E24" s="1391">
        <v>0</v>
      </c>
      <c r="F24" s="1391">
        <v>1</v>
      </c>
      <c r="K24" s="1475">
        <v>42081</v>
      </c>
      <c r="L24" s="1476" t="s">
        <v>2127</v>
      </c>
      <c r="M24" s="1477">
        <v>4.7279000000000002E-2</v>
      </c>
      <c r="N24" s="1478">
        <v>1.0061104552077136</v>
      </c>
      <c r="O24" s="1478">
        <v>1.0061104552077136</v>
      </c>
    </row>
    <row r="25" spans="2:15">
      <c r="B25" s="1390">
        <v>33178</v>
      </c>
      <c r="C25" s="1391">
        <v>3.5622900000000001E-3</v>
      </c>
      <c r="D25" s="1391">
        <v>4.6924062784199999E-2</v>
      </c>
      <c r="E25" s="1391">
        <v>0</v>
      </c>
      <c r="F25" s="1391">
        <v>1</v>
      </c>
      <c r="K25" s="1475">
        <v>42082</v>
      </c>
      <c r="L25" s="1476" t="s">
        <v>2127</v>
      </c>
      <c r="M25" s="1477">
        <v>4.7279000000000002E-2</v>
      </c>
      <c r="N25" s="1478">
        <v>1.0065861341698312</v>
      </c>
      <c r="O25" s="1478">
        <v>1.0065861341698312</v>
      </c>
    </row>
    <row r="26" spans="2:15">
      <c r="B26" s="1390">
        <v>33208</v>
      </c>
      <c r="C26" s="1391">
        <v>4.2034799999999999E-3</v>
      </c>
      <c r="D26" s="1391">
        <v>5.5576860018600002E-2</v>
      </c>
      <c r="E26" s="1391">
        <v>0</v>
      </c>
      <c r="F26" s="1391">
        <v>1</v>
      </c>
      <c r="K26" s="1475">
        <v>42083</v>
      </c>
      <c r="L26" s="1476" t="s">
        <v>2127</v>
      </c>
      <c r="M26" s="1477">
        <v>4.7279000000000002E-2</v>
      </c>
      <c r="N26" s="1478">
        <v>1.0070620380282054</v>
      </c>
      <c r="O26" s="1478">
        <v>1.0070620380282054</v>
      </c>
    </row>
    <row r="27" spans="2:15">
      <c r="B27" s="1390">
        <v>33239</v>
      </c>
      <c r="C27" s="1391">
        <v>4.9475200000000004E-3</v>
      </c>
      <c r="D27" s="1391">
        <v>6.7109058472399993E-2</v>
      </c>
      <c r="E27" s="1391">
        <v>0</v>
      </c>
      <c r="F27" s="1391">
        <v>1</v>
      </c>
      <c r="K27" s="1475">
        <v>42084</v>
      </c>
      <c r="L27" s="1476"/>
      <c r="M27" s="1477">
        <v>0</v>
      </c>
      <c r="N27" s="1478">
        <v>1.0070620380282054</v>
      </c>
      <c r="O27" s="1478">
        <v>1.0070620380282054</v>
      </c>
    </row>
    <row r="28" spans="2:15">
      <c r="B28" s="1390">
        <v>33270</v>
      </c>
      <c r="C28" s="1391">
        <v>5.9873900000000004E-3</v>
      </c>
      <c r="D28" s="1391">
        <v>8.1014388849100005E-2</v>
      </c>
      <c r="E28" s="1391">
        <v>0</v>
      </c>
      <c r="F28" s="1391">
        <v>1</v>
      </c>
      <c r="K28" s="1475">
        <v>42085</v>
      </c>
      <c r="L28" s="1476"/>
      <c r="M28" s="1477">
        <v>0</v>
      </c>
      <c r="N28" s="1478">
        <v>1.0070620380282054</v>
      </c>
      <c r="O28" s="1478">
        <v>1.0070620380282054</v>
      </c>
    </row>
    <row r="29" spans="2:15">
      <c r="B29" s="1390">
        <v>33298</v>
      </c>
      <c r="C29" s="1391">
        <v>6.5374099999999996E-3</v>
      </c>
      <c r="D29" s="1391">
        <v>9.0673647120300002E-2</v>
      </c>
      <c r="E29" s="1391">
        <v>0</v>
      </c>
      <c r="F29" s="1391">
        <v>1</v>
      </c>
      <c r="K29" s="1475">
        <v>42086</v>
      </c>
      <c r="L29" s="1476" t="s">
        <v>2127</v>
      </c>
      <c r="M29" s="1477">
        <v>4.7279000000000002E-2</v>
      </c>
      <c r="N29" s="1478">
        <v>1.0075381668891645</v>
      </c>
      <c r="O29" s="1478">
        <v>1.0075381668891645</v>
      </c>
    </row>
    <row r="30" spans="2:15">
      <c r="B30" s="1390">
        <v>33329</v>
      </c>
      <c r="C30" s="1391">
        <v>7.0477600000000001E-3</v>
      </c>
      <c r="D30" s="1391">
        <v>9.5197603525800006E-2</v>
      </c>
      <c r="E30" s="1391">
        <v>0</v>
      </c>
      <c r="F30" s="1391">
        <v>1</v>
      </c>
      <c r="K30" s="1475">
        <v>42087</v>
      </c>
      <c r="L30" s="1476" t="s">
        <v>2127</v>
      </c>
      <c r="M30" s="1477">
        <v>4.7279000000000002E-2</v>
      </c>
      <c r="N30" s="1478">
        <v>1.008014520859088</v>
      </c>
      <c r="O30" s="1478">
        <v>1.008014520859088</v>
      </c>
    </row>
    <row r="31" spans="2:15">
      <c r="B31" s="1390">
        <v>33359</v>
      </c>
      <c r="C31" s="1391">
        <v>7.57502E-3</v>
      </c>
      <c r="D31" s="1391">
        <v>0.10227253780620001</v>
      </c>
      <c r="E31" s="1391">
        <v>0</v>
      </c>
      <c r="F31" s="1391">
        <v>1</v>
      </c>
      <c r="K31" s="1475">
        <v>42088</v>
      </c>
      <c r="L31" s="1476" t="s">
        <v>2127</v>
      </c>
      <c r="M31" s="1477">
        <v>4.7279000000000002E-2</v>
      </c>
      <c r="N31" s="1478">
        <v>1.008491100044405</v>
      </c>
      <c r="O31" s="1478">
        <v>1.008491100044405</v>
      </c>
    </row>
    <row r="32" spans="2:15">
      <c r="B32" s="1390">
        <v>33390</v>
      </c>
      <c r="C32" s="1391">
        <v>8.2174099999999996E-3</v>
      </c>
      <c r="D32" s="1391">
        <v>0.113715813284</v>
      </c>
      <c r="E32" s="1391">
        <v>0</v>
      </c>
      <c r="F32" s="1391">
        <v>1</v>
      </c>
      <c r="K32" s="1475">
        <v>42089</v>
      </c>
      <c r="L32" s="1476" t="s">
        <v>2127</v>
      </c>
      <c r="M32" s="1477">
        <v>4.7279000000000002E-2</v>
      </c>
      <c r="N32" s="1478">
        <v>1.0089679045515949</v>
      </c>
      <c r="O32" s="1478">
        <v>1.0089679045515949</v>
      </c>
    </row>
    <row r="33" spans="2:15">
      <c r="B33" s="1390">
        <v>33420</v>
      </c>
      <c r="C33" s="1391">
        <v>9.3037399999999996E-3</v>
      </c>
      <c r="D33" s="1391">
        <v>0.12782677804270001</v>
      </c>
      <c r="E33" s="1391">
        <v>0</v>
      </c>
      <c r="F33" s="1391">
        <v>1</v>
      </c>
      <c r="K33" s="1475">
        <v>42090</v>
      </c>
      <c r="L33" s="1476" t="s">
        <v>2127</v>
      </c>
      <c r="M33" s="1477">
        <v>4.7279000000000002E-2</v>
      </c>
      <c r="N33" s="1478">
        <v>1.0094449344871876</v>
      </c>
      <c r="O33" s="1478">
        <v>1.0094449344871876</v>
      </c>
    </row>
    <row r="34" spans="2:15">
      <c r="B34" s="1390">
        <v>33451</v>
      </c>
      <c r="C34" s="1391">
        <v>1.072268E-2</v>
      </c>
      <c r="D34" s="1391">
        <v>0.14780665921940001</v>
      </c>
      <c r="E34" s="1392">
        <v>0</v>
      </c>
      <c r="F34" s="1392">
        <v>1</v>
      </c>
      <c r="K34" s="1475">
        <v>42091</v>
      </c>
      <c r="L34" s="1476"/>
      <c r="M34" s="1477">
        <v>0</v>
      </c>
      <c r="N34" s="1478">
        <v>1.0094449344871876</v>
      </c>
      <c r="O34" s="1478">
        <v>1.0094449344871876</v>
      </c>
    </row>
    <row r="35" spans="2:15">
      <c r="B35" s="1390">
        <v>33482</v>
      </c>
      <c r="C35" s="1391">
        <v>1.232337E-2</v>
      </c>
      <c r="D35" s="1391">
        <v>0.17090995992909999</v>
      </c>
      <c r="E35" s="1392">
        <v>0</v>
      </c>
      <c r="F35" s="1392">
        <v>1</v>
      </c>
      <c r="K35" s="1475">
        <v>42092</v>
      </c>
      <c r="L35" s="1476"/>
      <c r="M35" s="1477">
        <v>0</v>
      </c>
      <c r="N35" s="1478">
        <v>1.0094449344871876</v>
      </c>
      <c r="O35" s="1478">
        <v>1.0094449344871876</v>
      </c>
    </row>
    <row r="36" spans="2:15">
      <c r="B36" s="1390">
        <v>33512</v>
      </c>
      <c r="C36" s="1391">
        <v>1.5112230000000001E-2</v>
      </c>
      <c r="D36" s="1391">
        <v>0.20548432454660001</v>
      </c>
      <c r="E36" s="1392">
        <v>0</v>
      </c>
      <c r="F36" s="1392">
        <v>1</v>
      </c>
      <c r="K36" s="1475">
        <v>42093</v>
      </c>
      <c r="L36" s="1476" t="s">
        <v>2127</v>
      </c>
      <c r="M36" s="1477">
        <v>4.7279000000000002E-2</v>
      </c>
      <c r="N36" s="1478">
        <v>1.0099221899577637</v>
      </c>
      <c r="O36" s="1478">
        <v>1.0099221899577637</v>
      </c>
    </row>
    <row r="37" spans="2:15">
      <c r="B37" s="1390">
        <v>33543</v>
      </c>
      <c r="C37" s="1391">
        <v>1.8984250000000001E-2</v>
      </c>
      <c r="D37" s="1391">
        <v>0.2572875157699</v>
      </c>
      <c r="E37" s="1392">
        <v>0</v>
      </c>
      <c r="F37" s="1392">
        <v>1</v>
      </c>
      <c r="K37" s="1475">
        <v>42094</v>
      </c>
      <c r="L37" s="1476" t="s">
        <v>2127</v>
      </c>
      <c r="M37" s="1477">
        <v>4.7279000000000002E-2</v>
      </c>
      <c r="N37" s="1478">
        <v>1.0103996710699537</v>
      </c>
      <c r="O37" s="1478">
        <v>1.0103996710699537</v>
      </c>
    </row>
    <row r="38" spans="2:15">
      <c r="B38" s="1390">
        <v>33573</v>
      </c>
      <c r="C38" s="1391">
        <v>2.347107E-2</v>
      </c>
      <c r="D38" s="1391">
        <v>0.31828867732630001</v>
      </c>
      <c r="E38" s="1392">
        <v>0</v>
      </c>
      <c r="F38" s="1392">
        <v>1</v>
      </c>
      <c r="K38" s="1475">
        <v>42095</v>
      </c>
      <c r="L38" s="1476" t="s">
        <v>2127</v>
      </c>
      <c r="M38" s="1477">
        <v>4.7279000000000002E-2</v>
      </c>
      <c r="N38" s="1478">
        <v>1.0108773779304387</v>
      </c>
      <c r="O38" s="1478">
        <v>1.0108773779304387</v>
      </c>
    </row>
    <row r="39" spans="2:15">
      <c r="B39" s="1390">
        <v>33604</v>
      </c>
      <c r="C39" s="1391">
        <v>2.9000140000000001E-2</v>
      </c>
      <c r="D39" s="1391">
        <v>0.40085366056990002</v>
      </c>
      <c r="E39" s="1392">
        <v>0</v>
      </c>
      <c r="F39" s="1392">
        <v>1</v>
      </c>
      <c r="K39" s="1475">
        <v>42096</v>
      </c>
      <c r="L39" s="1476" t="s">
        <v>2127</v>
      </c>
      <c r="M39" s="1477">
        <v>4.7279000000000002E-2</v>
      </c>
      <c r="N39" s="1478">
        <v>1.0113553106459503</v>
      </c>
      <c r="O39" s="1478">
        <v>1.0113553106459503</v>
      </c>
    </row>
    <row r="40" spans="2:15">
      <c r="B40" s="1390">
        <v>33635</v>
      </c>
      <c r="C40" s="1391">
        <v>3.7078809999999997E-2</v>
      </c>
      <c r="D40" s="1391">
        <v>0.49834103072840003</v>
      </c>
      <c r="E40" s="1392">
        <v>0</v>
      </c>
      <c r="F40" s="1392">
        <v>1</v>
      </c>
      <c r="K40" s="1475">
        <v>42097</v>
      </c>
      <c r="L40" s="1476"/>
      <c r="M40" s="1477">
        <v>0</v>
      </c>
      <c r="N40" s="1478">
        <v>1.0113553106459503</v>
      </c>
      <c r="O40" s="1478">
        <v>1.0113553106459503</v>
      </c>
    </row>
    <row r="41" spans="2:15">
      <c r="B41" s="1390">
        <v>33664</v>
      </c>
      <c r="C41" s="1391">
        <v>4.501144E-2</v>
      </c>
      <c r="D41" s="1391">
        <v>0.60498746741809994</v>
      </c>
      <c r="E41" s="1392">
        <v>0</v>
      </c>
      <c r="F41" s="1392">
        <v>1</v>
      </c>
      <c r="K41" s="1475">
        <v>42098</v>
      </c>
      <c r="L41" s="1476"/>
      <c r="M41" s="1477">
        <v>0</v>
      </c>
      <c r="N41" s="1478">
        <v>1.0113553106459503</v>
      </c>
      <c r="O41" s="1478">
        <v>1.0113553106459503</v>
      </c>
    </row>
    <row r="42" spans="2:15">
      <c r="B42" s="1390">
        <v>33695</v>
      </c>
      <c r="C42" s="1391">
        <v>5.3986060000000002E-2</v>
      </c>
      <c r="D42" s="1391">
        <v>0.72556146522830001</v>
      </c>
      <c r="E42" s="1392">
        <v>0</v>
      </c>
      <c r="F42" s="1392">
        <v>1</v>
      </c>
      <c r="K42" s="1475">
        <v>42099</v>
      </c>
      <c r="L42" s="1476"/>
      <c r="M42" s="1477">
        <v>0</v>
      </c>
      <c r="N42" s="1478">
        <v>1.0113553106459503</v>
      </c>
      <c r="O42" s="1478">
        <v>1.0113553106459503</v>
      </c>
    </row>
    <row r="43" spans="2:15">
      <c r="B43" s="1390">
        <v>33725</v>
      </c>
      <c r="C43" s="1391">
        <v>6.5012799999999996E-2</v>
      </c>
      <c r="D43" s="1391">
        <v>0.90593616441860003</v>
      </c>
      <c r="E43" s="1392">
        <v>0</v>
      </c>
      <c r="F43" s="1392">
        <v>1</v>
      </c>
      <c r="K43" s="1475">
        <v>42100</v>
      </c>
      <c r="L43" s="1476" t="s">
        <v>2127</v>
      </c>
      <c r="M43" s="1477">
        <v>4.7279000000000002E-2</v>
      </c>
      <c r="N43" s="1478">
        <v>1.0118334693232705</v>
      </c>
      <c r="O43" s="1478">
        <v>1.0118334693232705</v>
      </c>
    </row>
    <row r="44" spans="2:15">
      <c r="B44" s="1390">
        <v>33756</v>
      </c>
      <c r="C44" s="1391">
        <v>8.0361459999999996E-2</v>
      </c>
      <c r="D44" s="1391">
        <v>1.0890285720637001</v>
      </c>
      <c r="E44" s="1392">
        <v>0</v>
      </c>
      <c r="F44" s="1392">
        <v>1</v>
      </c>
      <c r="K44" s="1475">
        <v>42101</v>
      </c>
      <c r="L44" s="1476" t="s">
        <v>2127</v>
      </c>
      <c r="M44" s="1477">
        <v>4.7279000000000002E-2</v>
      </c>
      <c r="N44" s="1478">
        <v>1.0123118540692317</v>
      </c>
      <c r="O44" s="1478">
        <v>1.0123118540692317</v>
      </c>
    </row>
    <row r="45" spans="2:15">
      <c r="B45" s="1390">
        <v>33786</v>
      </c>
      <c r="C45" s="1391">
        <v>9.7908469999999997E-2</v>
      </c>
      <c r="D45" s="1391">
        <v>1.3267641484791</v>
      </c>
      <c r="E45" s="1392">
        <v>0</v>
      </c>
      <c r="F45" s="1392">
        <v>1</v>
      </c>
      <c r="K45" s="1475">
        <v>42102</v>
      </c>
      <c r="L45" s="1476" t="s">
        <v>2127</v>
      </c>
      <c r="M45" s="1477">
        <v>4.7279000000000002E-2</v>
      </c>
      <c r="N45" s="1478">
        <v>1.0127904649907171</v>
      </c>
      <c r="O45" s="1478">
        <v>1.0127904649907171</v>
      </c>
    </row>
    <row r="46" spans="2:15">
      <c r="B46" s="1390">
        <v>33817</v>
      </c>
      <c r="C46" s="1391">
        <v>0.12202180999999999</v>
      </c>
      <c r="D46" s="1391">
        <v>1.6205100844213001</v>
      </c>
      <c r="E46" s="1392">
        <v>0</v>
      </c>
      <c r="F46" s="1392">
        <v>1</v>
      </c>
      <c r="K46" s="1475">
        <v>42103</v>
      </c>
      <c r="L46" s="1476" t="s">
        <v>2127</v>
      </c>
      <c r="M46" s="1477">
        <v>4.7279000000000002E-2</v>
      </c>
      <c r="N46" s="1478">
        <v>1.0132693021946599</v>
      </c>
      <c r="O46" s="1478">
        <v>1.0132693021946599</v>
      </c>
    </row>
    <row r="47" spans="2:15">
      <c r="B47" s="1390">
        <v>33848</v>
      </c>
      <c r="C47" s="1391">
        <v>0.15285811999999999</v>
      </c>
      <c r="D47" s="1391">
        <v>2.0196408623306001</v>
      </c>
      <c r="E47" s="1392">
        <v>0</v>
      </c>
      <c r="F47" s="1392">
        <v>1</v>
      </c>
      <c r="K47" s="1475">
        <v>42104</v>
      </c>
      <c r="L47" s="1476" t="s">
        <v>2127</v>
      </c>
      <c r="M47" s="1477">
        <v>4.7279000000000002E-2</v>
      </c>
      <c r="N47" s="1478">
        <v>1.0137483657880444</v>
      </c>
      <c r="O47" s="1478">
        <v>1.0137483657880444</v>
      </c>
    </row>
    <row r="48" spans="2:15">
      <c r="B48" s="1390">
        <v>33878</v>
      </c>
      <c r="C48" s="1391">
        <v>0.19376498</v>
      </c>
      <c r="D48" s="1391">
        <v>2.5293973801068002</v>
      </c>
      <c r="E48" s="1392">
        <v>0</v>
      </c>
      <c r="F48" s="1392">
        <v>1</v>
      </c>
      <c r="K48" s="1475">
        <v>42105</v>
      </c>
      <c r="L48" s="1476"/>
      <c r="M48" s="1477">
        <v>0</v>
      </c>
      <c r="N48" s="1478">
        <v>1.0137483657880444</v>
      </c>
      <c r="O48" s="1478">
        <v>1.0137483657880444</v>
      </c>
    </row>
    <row r="49" spans="2:15">
      <c r="B49" s="1390">
        <v>33909</v>
      </c>
      <c r="C49" s="1391">
        <v>0.23916162999999999</v>
      </c>
      <c r="D49" s="1391">
        <v>3.0982598885127999</v>
      </c>
      <c r="E49" s="1392">
        <v>0</v>
      </c>
      <c r="F49" s="1392">
        <v>1</v>
      </c>
      <c r="K49" s="1475">
        <v>42106</v>
      </c>
      <c r="L49" s="1476"/>
      <c r="M49" s="1477">
        <v>0</v>
      </c>
      <c r="N49" s="1478">
        <v>1.0137483657880444</v>
      </c>
      <c r="O49" s="1478">
        <v>1.0137483657880444</v>
      </c>
    </row>
    <row r="50" spans="2:15">
      <c r="B50" s="1390">
        <v>33939</v>
      </c>
      <c r="C50" s="1391">
        <v>0.29913278999999998</v>
      </c>
      <c r="D50" s="1391">
        <v>3.8802596550900001</v>
      </c>
      <c r="E50" s="1392">
        <v>0</v>
      </c>
      <c r="F50" s="1392">
        <v>1</v>
      </c>
      <c r="K50" s="1475">
        <v>42107</v>
      </c>
      <c r="L50" s="1476" t="s">
        <v>2127</v>
      </c>
      <c r="M50" s="1477">
        <v>4.7279000000000002E-2</v>
      </c>
      <c r="N50" s="1478">
        <v>1.0142276558779053</v>
      </c>
      <c r="O50" s="1478">
        <v>1.0142276558779053</v>
      </c>
    </row>
    <row r="51" spans="2:15">
      <c r="B51" s="1390">
        <v>33970</v>
      </c>
      <c r="C51" s="1391">
        <v>0.37638683000000001</v>
      </c>
      <c r="D51" s="1391">
        <v>5.0579166458253004</v>
      </c>
      <c r="E51" s="1392">
        <v>0</v>
      </c>
      <c r="F51" s="1392">
        <v>1</v>
      </c>
      <c r="K51" s="1475">
        <v>42108</v>
      </c>
      <c r="L51" s="1476" t="s">
        <v>2127</v>
      </c>
      <c r="M51" s="1477">
        <v>4.7279000000000002E-2</v>
      </c>
      <c r="N51" s="1478">
        <v>1.0147071725713277</v>
      </c>
      <c r="O51" s="1478">
        <v>1.0147071725713277</v>
      </c>
    </row>
    <row r="52" spans="2:15">
      <c r="B52" s="1390">
        <v>34001</v>
      </c>
      <c r="C52" s="1391">
        <v>0.48335073000000001</v>
      </c>
      <c r="D52" s="1391">
        <v>6.3213843084293</v>
      </c>
      <c r="E52" s="1392">
        <v>0</v>
      </c>
      <c r="F52" s="1392">
        <v>1</v>
      </c>
      <c r="K52" s="1475">
        <v>42109</v>
      </c>
      <c r="L52" s="1476" t="s">
        <v>2127</v>
      </c>
      <c r="M52" s="1477">
        <v>4.7279000000000002E-2</v>
      </c>
      <c r="N52" s="1478">
        <v>1.0151869159754476</v>
      </c>
      <c r="O52" s="1478">
        <v>1.0151869159754476</v>
      </c>
    </row>
    <row r="53" spans="2:15">
      <c r="B53" s="1390">
        <v>34029</v>
      </c>
      <c r="C53" s="1391">
        <v>0.61023090000000002</v>
      </c>
      <c r="D53" s="1391">
        <v>8.0445948724788998</v>
      </c>
      <c r="E53" s="1392">
        <v>0</v>
      </c>
      <c r="F53" s="1392">
        <v>1</v>
      </c>
      <c r="K53" s="1475">
        <v>42110</v>
      </c>
      <c r="L53" s="1476" t="s">
        <v>2127</v>
      </c>
      <c r="M53" s="1477">
        <v>4.7279000000000002E-2</v>
      </c>
      <c r="N53" s="1478">
        <v>1.0156668861974516</v>
      </c>
      <c r="O53" s="1478">
        <v>1.0156668861974516</v>
      </c>
    </row>
    <row r="54" spans="2:15">
      <c r="B54" s="1390">
        <v>34060</v>
      </c>
      <c r="C54" s="1391">
        <v>0.78617482000000005</v>
      </c>
      <c r="D54" s="1391">
        <v>10.2769672819025</v>
      </c>
      <c r="E54" s="1392">
        <v>0</v>
      </c>
      <c r="F54" s="1392">
        <v>1</v>
      </c>
      <c r="K54" s="1475">
        <v>42111</v>
      </c>
      <c r="L54" s="1476" t="s">
        <v>2127</v>
      </c>
      <c r="M54" s="1477">
        <v>4.7279000000000002E-2</v>
      </c>
      <c r="N54" s="1478">
        <v>1.0161470833445767</v>
      </c>
      <c r="O54" s="1478">
        <v>1.0161470833445767</v>
      </c>
    </row>
    <row r="55" spans="2:15">
      <c r="B55" s="1390">
        <v>34090</v>
      </c>
      <c r="C55" s="1391">
        <v>1.01968087</v>
      </c>
      <c r="D55" s="1391">
        <v>13.1226581300609</v>
      </c>
      <c r="E55" s="1392">
        <v>0</v>
      </c>
      <c r="F55" s="1392">
        <v>1</v>
      </c>
      <c r="K55" s="1475">
        <v>42112</v>
      </c>
      <c r="L55" s="1476"/>
      <c r="M55" s="1477">
        <v>0</v>
      </c>
      <c r="N55" s="1478">
        <v>1.0161470833445767</v>
      </c>
      <c r="O55" s="1478">
        <v>1.0161470833445767</v>
      </c>
    </row>
    <row r="56" spans="2:15">
      <c r="B56" s="1390">
        <v>34121</v>
      </c>
      <c r="C56" s="1391">
        <v>1.3408208699999999</v>
      </c>
      <c r="D56" s="1391">
        <v>17.068642979808899</v>
      </c>
      <c r="E56" s="1392">
        <v>0</v>
      </c>
      <c r="F56" s="1392">
        <v>1</v>
      </c>
      <c r="K56" s="1475">
        <v>42113</v>
      </c>
      <c r="L56" s="1476"/>
      <c r="M56" s="1477">
        <v>0</v>
      </c>
      <c r="N56" s="1478">
        <v>1.0161470833445767</v>
      </c>
      <c r="O56" s="1478">
        <v>1.0161470833445767</v>
      </c>
    </row>
    <row r="57" spans="2:15">
      <c r="B57" s="1390">
        <v>34151</v>
      </c>
      <c r="C57" s="1391">
        <v>1.75984608</v>
      </c>
      <c r="D57" s="1391">
        <v>22.312130761236201</v>
      </c>
      <c r="E57" s="1392">
        <v>0</v>
      </c>
      <c r="F57" s="1392">
        <v>1</v>
      </c>
      <c r="K57" s="1475">
        <v>42114</v>
      </c>
      <c r="L57" s="1476" t="s">
        <v>2127</v>
      </c>
      <c r="M57" s="1477">
        <v>4.7279000000000002E-2</v>
      </c>
      <c r="N57" s="1478">
        <v>1.0166275075241111</v>
      </c>
      <c r="O57" s="1478">
        <v>1.0166275075241111</v>
      </c>
    </row>
    <row r="58" spans="2:15">
      <c r="B58" s="1390">
        <v>34182</v>
      </c>
      <c r="C58" s="1391">
        <v>2.31923637</v>
      </c>
      <c r="D58" s="1391">
        <v>29.666210936414501</v>
      </c>
      <c r="E58" s="1392">
        <v>0</v>
      </c>
      <c r="F58" s="1392">
        <v>1</v>
      </c>
      <c r="K58" s="1475">
        <v>42115</v>
      </c>
      <c r="L58" s="1476"/>
      <c r="M58" s="1477">
        <v>0</v>
      </c>
      <c r="N58" s="1478">
        <v>1.0166275075241111</v>
      </c>
      <c r="O58" s="1478">
        <v>1.0166275075241111</v>
      </c>
    </row>
    <row r="59" spans="2:15">
      <c r="B59" s="1390">
        <v>34213</v>
      </c>
      <c r="C59" s="1391">
        <v>3.1375231000000001</v>
      </c>
      <c r="D59" s="1391">
        <v>40.254080730946797</v>
      </c>
      <c r="E59" s="1392">
        <v>0</v>
      </c>
      <c r="F59" s="1392">
        <v>1</v>
      </c>
      <c r="K59" s="1475">
        <v>42116</v>
      </c>
      <c r="L59" s="1476" t="s">
        <v>2127</v>
      </c>
      <c r="M59" s="1477">
        <v>4.7279000000000002E-2</v>
      </c>
      <c r="N59" s="1478">
        <v>1.0171081588433935</v>
      </c>
      <c r="O59" s="1478">
        <v>1.0171081588433935</v>
      </c>
    </row>
    <row r="60" spans="2:15">
      <c r="B60" s="1390">
        <v>34243</v>
      </c>
      <c r="C60" s="1391">
        <v>4.2367972299999996</v>
      </c>
      <c r="D60" s="1391">
        <v>53.908264834853298</v>
      </c>
      <c r="E60" s="1392">
        <v>0</v>
      </c>
      <c r="F60" s="1392">
        <v>1</v>
      </c>
      <c r="K60" s="1475">
        <v>42117</v>
      </c>
      <c r="L60" s="1476" t="s">
        <v>2127</v>
      </c>
      <c r="M60" s="1477">
        <v>4.7279000000000002E-2</v>
      </c>
      <c r="N60" s="1478">
        <v>1.0175890374098129</v>
      </c>
      <c r="O60" s="1478">
        <v>1.0175890374098129</v>
      </c>
    </row>
    <row r="61" spans="2:15">
      <c r="B61" s="1390">
        <v>34274</v>
      </c>
      <c r="C61" s="1391">
        <v>5.7685216500000003</v>
      </c>
      <c r="D61" s="1391">
        <v>73.078046584524003</v>
      </c>
      <c r="E61" s="1392">
        <v>0</v>
      </c>
      <c r="F61" s="1392">
        <v>1</v>
      </c>
      <c r="K61" s="1475">
        <v>42118</v>
      </c>
      <c r="L61" s="1476" t="s">
        <v>2127</v>
      </c>
      <c r="M61" s="1477">
        <v>4.7279000000000002E-2</v>
      </c>
      <c r="N61" s="1478">
        <v>1.0180701433308097</v>
      </c>
      <c r="O61" s="1478">
        <v>1.0180701433308097</v>
      </c>
    </row>
    <row r="62" spans="2:15">
      <c r="B62" s="1390">
        <v>34304</v>
      </c>
      <c r="C62" s="1391">
        <v>7.9792505900000004</v>
      </c>
      <c r="D62" s="1391">
        <v>100</v>
      </c>
      <c r="E62" s="1392">
        <v>0</v>
      </c>
      <c r="F62" s="1392">
        <v>1</v>
      </c>
      <c r="K62" s="1475">
        <v>42119</v>
      </c>
      <c r="L62" s="1476"/>
      <c r="M62" s="1477">
        <v>0</v>
      </c>
      <c r="N62" s="1478">
        <v>1.0180701433308097</v>
      </c>
      <c r="O62" s="1478">
        <v>1.0180701433308097</v>
      </c>
    </row>
    <row r="63" spans="2:15">
      <c r="B63" s="1390">
        <v>34335</v>
      </c>
      <c r="C63" s="1391">
        <v>11.0967647</v>
      </c>
      <c r="D63" s="1391">
        <v>141.31</v>
      </c>
      <c r="E63" s="1392">
        <v>0</v>
      </c>
      <c r="F63" s="1392">
        <v>1</v>
      </c>
      <c r="K63" s="1475">
        <v>42120</v>
      </c>
      <c r="L63" s="1476"/>
      <c r="M63" s="1477">
        <v>0</v>
      </c>
      <c r="N63" s="1478">
        <v>1.0180701433308097</v>
      </c>
      <c r="O63" s="1478">
        <v>1.0180701433308097</v>
      </c>
    </row>
    <row r="64" spans="2:15">
      <c r="B64" s="1390">
        <v>34366</v>
      </c>
      <c r="C64" s="1391">
        <v>15.62186911</v>
      </c>
      <c r="D64" s="1391">
        <v>198.22</v>
      </c>
      <c r="E64" s="1392">
        <v>0</v>
      </c>
      <c r="F64" s="1392">
        <v>1</v>
      </c>
      <c r="K64" s="1475">
        <v>42121</v>
      </c>
      <c r="L64" s="1476" t="s">
        <v>2127</v>
      </c>
      <c r="M64" s="1477">
        <v>4.7314000000000002E-2</v>
      </c>
      <c r="N64" s="1478">
        <v>1.0185518330384251</v>
      </c>
      <c r="O64" s="1478">
        <v>1.0185518330384251</v>
      </c>
    </row>
    <row r="65" spans="2:15">
      <c r="B65" s="1390">
        <v>34394</v>
      </c>
      <c r="C65" s="1391">
        <v>22.762782099999999</v>
      </c>
      <c r="D65" s="1391">
        <v>282.95999999999998</v>
      </c>
      <c r="E65" s="1392">
        <v>0</v>
      </c>
      <c r="F65" s="1392">
        <v>1</v>
      </c>
      <c r="K65" s="1475">
        <v>42122</v>
      </c>
      <c r="L65" s="1476" t="s">
        <v>2127</v>
      </c>
      <c r="M65" s="1477">
        <v>4.7350000000000003E-2</v>
      </c>
      <c r="N65" s="1478">
        <v>1.0190341173313688</v>
      </c>
      <c r="O65" s="1478">
        <v>1.0190341173313688</v>
      </c>
    </row>
    <row r="66" spans="2:15">
      <c r="B66" s="1390">
        <v>34425</v>
      </c>
      <c r="C66" s="1391">
        <v>32.074938510000003</v>
      </c>
      <c r="D66" s="1391">
        <v>403.73</v>
      </c>
      <c r="E66" s="1392">
        <v>0</v>
      </c>
      <c r="F66" s="1392">
        <v>1</v>
      </c>
      <c r="K66" s="1475">
        <v>42123</v>
      </c>
      <c r="L66" s="1476" t="s">
        <v>2127</v>
      </c>
      <c r="M66" s="1477">
        <v>4.7350000000000003E-2</v>
      </c>
      <c r="N66" s="1478">
        <v>1.0195166299859253</v>
      </c>
      <c r="O66" s="1478">
        <v>1.0195166299859253</v>
      </c>
    </row>
    <row r="67" spans="2:15">
      <c r="B67" s="1390">
        <v>34455</v>
      </c>
      <c r="C67" s="1391">
        <v>45.731576959999998</v>
      </c>
      <c r="D67" s="1391">
        <v>581.49</v>
      </c>
      <c r="E67" s="1392">
        <v>0</v>
      </c>
      <c r="F67" s="1392">
        <v>1</v>
      </c>
      <c r="K67" s="1475">
        <v>42124</v>
      </c>
      <c r="L67" s="1476" t="s">
        <v>2127</v>
      </c>
      <c r="M67" s="1477">
        <v>4.9036999999999997E-2</v>
      </c>
      <c r="N67" s="1478">
        <v>1.0200165703557715</v>
      </c>
      <c r="O67" s="1478">
        <v>1.0200165703557715</v>
      </c>
    </row>
    <row r="68" spans="2:15">
      <c r="B68" s="1390">
        <v>34486</v>
      </c>
      <c r="C68" s="1391">
        <v>66.408212939999999</v>
      </c>
      <c r="D68" s="1391">
        <v>857.29</v>
      </c>
      <c r="E68" s="1392">
        <v>0</v>
      </c>
      <c r="F68" s="1392">
        <v>1</v>
      </c>
      <c r="K68" s="1475">
        <v>42125</v>
      </c>
      <c r="L68" s="1476"/>
      <c r="M68" s="1477">
        <v>0</v>
      </c>
      <c r="N68" s="1478">
        <v>1.0200165703557715</v>
      </c>
      <c r="O68" s="1478">
        <v>1.0200165703557715</v>
      </c>
    </row>
    <row r="69" spans="2:15">
      <c r="B69" s="1390">
        <v>34516</v>
      </c>
      <c r="C69" s="1391">
        <v>92.968426030000003</v>
      </c>
      <c r="D69" s="1391">
        <v>915.93</v>
      </c>
      <c r="E69" s="1392">
        <v>0</v>
      </c>
      <c r="F69" s="1392">
        <v>1</v>
      </c>
      <c r="K69" s="1475">
        <v>42126</v>
      </c>
      <c r="L69" s="1476"/>
      <c r="M69" s="1477">
        <v>0</v>
      </c>
      <c r="N69" s="1478">
        <v>1.0200165703557715</v>
      </c>
      <c r="O69" s="1478">
        <v>1.0200165703557715</v>
      </c>
    </row>
    <row r="70" spans="2:15">
      <c r="B70" s="1390">
        <v>34547</v>
      </c>
      <c r="C70" s="1391">
        <v>100</v>
      </c>
      <c r="D70" s="1391">
        <v>932.97</v>
      </c>
      <c r="E70" s="1392">
        <v>1.0417031360600404</v>
      </c>
      <c r="F70" s="1392">
        <v>1.0417031360600404</v>
      </c>
      <c r="K70" s="1475">
        <v>42127</v>
      </c>
      <c r="L70" s="1476"/>
      <c r="M70" s="1477">
        <v>0</v>
      </c>
      <c r="N70" s="1478">
        <v>1.0200165703557715</v>
      </c>
      <c r="O70" s="1478">
        <v>1.0200165703557715</v>
      </c>
    </row>
    <row r="71" spans="2:15">
      <c r="B71" s="1390">
        <v>34578</v>
      </c>
      <c r="C71" s="1391">
        <v>101.751</v>
      </c>
      <c r="D71" s="1391">
        <v>947.24</v>
      </c>
      <c r="E71" s="1392">
        <v>1.040191380612066</v>
      </c>
      <c r="F71" s="1392">
        <v>1.0835706232862121</v>
      </c>
      <c r="K71" s="1475">
        <v>42128</v>
      </c>
      <c r="L71" s="1476" t="s">
        <v>2127</v>
      </c>
      <c r="M71" s="1477">
        <v>4.9036999999999997E-2</v>
      </c>
      <c r="N71" s="1478">
        <v>1.020516755881377</v>
      </c>
      <c r="O71" s="1478">
        <v>1.020516755881377</v>
      </c>
    </row>
    <row r="72" spans="2:15">
      <c r="B72" s="1390">
        <v>34608</v>
      </c>
      <c r="C72" s="1391">
        <v>103.602</v>
      </c>
      <c r="D72" s="1391">
        <v>972.06</v>
      </c>
      <c r="E72" s="1392">
        <v>1.0400235119965635</v>
      </c>
      <c r="F72" s="1392">
        <v>1.1269389251264317</v>
      </c>
      <c r="K72" s="1475">
        <v>42129</v>
      </c>
      <c r="L72" s="1476" t="s">
        <v>2127</v>
      </c>
      <c r="M72" s="1477">
        <v>4.9036999999999997E-2</v>
      </c>
      <c r="N72" s="1478">
        <v>1.0210171866829587</v>
      </c>
      <c r="O72" s="1478">
        <v>1.0210171866829587</v>
      </c>
    </row>
    <row r="73" spans="2:15">
      <c r="B73" s="1390">
        <v>34639</v>
      </c>
      <c r="C73" s="1391">
        <v>106.553</v>
      </c>
      <c r="D73" s="1391">
        <v>999.37</v>
      </c>
      <c r="E73" s="1392">
        <v>1.0448704061969656</v>
      </c>
      <c r="F73" s="1392">
        <v>1.1775051324560264</v>
      </c>
      <c r="K73" s="1475">
        <v>42130</v>
      </c>
      <c r="L73" s="1476" t="s">
        <v>2127</v>
      </c>
      <c r="M73" s="1477">
        <v>4.9036999999999997E-2</v>
      </c>
      <c r="N73" s="1478">
        <v>1.0215178628807926</v>
      </c>
      <c r="O73" s="1478">
        <v>1.0215178628807926</v>
      </c>
    </row>
    <row r="74" spans="2:15">
      <c r="B74" s="1390">
        <v>34669</v>
      </c>
      <c r="C74" s="1391">
        <v>107.45</v>
      </c>
      <c r="D74" s="1391">
        <v>1016.46</v>
      </c>
      <c r="E74" s="1392">
        <v>1.0379749903132509</v>
      </c>
      <c r="F74" s="1392">
        <v>1.2222208784548472</v>
      </c>
      <c r="K74" s="1475">
        <v>42131</v>
      </c>
      <c r="L74" s="1476" t="s">
        <v>2127</v>
      </c>
      <c r="M74" s="1477">
        <v>4.9036999999999997E-2</v>
      </c>
      <c r="N74" s="1478">
        <v>1.0220187845952136</v>
      </c>
      <c r="O74" s="1478">
        <v>1.0220187845952136</v>
      </c>
    </row>
    <row r="75" spans="2:15">
      <c r="B75" s="1390">
        <v>34700</v>
      </c>
      <c r="C75" s="1391">
        <v>108.44199999999999</v>
      </c>
      <c r="D75" s="1391">
        <v>1033.74</v>
      </c>
      <c r="E75" s="1392">
        <v>1.033745155557255</v>
      </c>
      <c r="F75" s="1392">
        <v>1.2634649121236308</v>
      </c>
      <c r="K75" s="1475">
        <v>42132</v>
      </c>
      <c r="L75" s="1476" t="s">
        <v>2127</v>
      </c>
      <c r="M75" s="1477">
        <v>4.9036999999999997E-2</v>
      </c>
      <c r="N75" s="1478">
        <v>1.0225199519466155</v>
      </c>
      <c r="O75" s="1478">
        <v>1.0225199519466155</v>
      </c>
    </row>
    <row r="76" spans="2:15">
      <c r="B76" s="1390">
        <v>34731</v>
      </c>
      <c r="C76" s="1391">
        <v>109.9455</v>
      </c>
      <c r="D76" s="1391">
        <v>1044.28</v>
      </c>
      <c r="E76" s="1392">
        <v>1.0361946548110796</v>
      </c>
      <c r="F76" s="1392">
        <v>1.3091955884838566</v>
      </c>
      <c r="K76" s="1475">
        <v>42133</v>
      </c>
      <c r="L76" s="1476"/>
      <c r="M76" s="1477">
        <v>0</v>
      </c>
      <c r="N76" s="1478">
        <v>1.0225199519466155</v>
      </c>
      <c r="O76" s="1478">
        <v>1.0225199519466155</v>
      </c>
    </row>
    <row r="77" spans="2:15">
      <c r="B77" s="1390">
        <v>34759</v>
      </c>
      <c r="C77" s="1391">
        <v>111.178</v>
      </c>
      <c r="D77" s="1391">
        <v>1060.47</v>
      </c>
      <c r="E77" s="1392">
        <v>1.0426211014987152</v>
      </c>
      <c r="F77" s="1392">
        <v>1.3649949465422972</v>
      </c>
      <c r="K77" s="1475">
        <v>42134</v>
      </c>
      <c r="L77" s="1476"/>
      <c r="M77" s="1477">
        <v>0</v>
      </c>
      <c r="N77" s="1478">
        <v>1.0225199519466155</v>
      </c>
      <c r="O77" s="1478">
        <v>1.0225199519466155</v>
      </c>
    </row>
    <row r="78" spans="2:15">
      <c r="B78" s="1390">
        <v>34790</v>
      </c>
      <c r="C78" s="1391">
        <v>113.518</v>
      </c>
      <c r="D78" s="1391">
        <v>1086.24</v>
      </c>
      <c r="E78" s="1392">
        <v>1.0502446731743562</v>
      </c>
      <c r="F78" s="1392">
        <v>1.4335786715159629</v>
      </c>
      <c r="K78" s="1475">
        <v>42135</v>
      </c>
      <c r="L78" s="1476" t="s">
        <v>2127</v>
      </c>
      <c r="M78" s="1477">
        <v>4.9036999999999997E-2</v>
      </c>
      <c r="N78" s="1478">
        <v>1.0230213650554516</v>
      </c>
      <c r="O78" s="1478">
        <v>1.0230213650554516</v>
      </c>
    </row>
    <row r="79" spans="2:15">
      <c r="B79" s="1390">
        <v>34820</v>
      </c>
      <c r="C79" s="1391">
        <v>114.17100000000001</v>
      </c>
      <c r="D79" s="1391">
        <v>1115.24</v>
      </c>
      <c r="E79" s="1392">
        <v>1.0450356278102417</v>
      </c>
      <c r="F79" s="1392">
        <v>1.4981407870030565</v>
      </c>
      <c r="K79" s="1475">
        <v>42136</v>
      </c>
      <c r="L79" s="1476" t="s">
        <v>2127</v>
      </c>
      <c r="M79" s="1477">
        <v>4.9036999999999997E-2</v>
      </c>
      <c r="N79" s="1478">
        <v>1.0235230240422339</v>
      </c>
      <c r="O79" s="1478">
        <v>1.0235230240422339</v>
      </c>
    </row>
    <row r="80" spans="2:15">
      <c r="B80" s="1390">
        <v>34851</v>
      </c>
      <c r="C80" s="1391">
        <v>116.98399999999999</v>
      </c>
      <c r="D80" s="1391">
        <v>1140.44</v>
      </c>
      <c r="E80" s="1392">
        <v>1.0423602226147934</v>
      </c>
      <c r="F80" s="1392">
        <v>1.5616023642488079</v>
      </c>
      <c r="K80" s="1475">
        <v>42137</v>
      </c>
      <c r="L80" s="1476" t="s">
        <v>2127</v>
      </c>
      <c r="M80" s="1477">
        <v>4.9036999999999997E-2</v>
      </c>
      <c r="N80" s="1478">
        <v>1.0240249290275336</v>
      </c>
      <c r="O80" s="1478">
        <v>1.0240249290275336</v>
      </c>
    </row>
    <row r="81" spans="2:15">
      <c r="B81" s="1390">
        <v>34881</v>
      </c>
      <c r="C81" s="1391">
        <v>119.114</v>
      </c>
      <c r="D81" s="1391">
        <v>1167.3499999999999</v>
      </c>
      <c r="E81" s="1392">
        <v>1.0402311780170954</v>
      </c>
      <c r="F81" s="1392">
        <v>1.6244274669568188</v>
      </c>
      <c r="K81" s="1475">
        <v>42138</v>
      </c>
      <c r="L81" s="1476" t="s">
        <v>2127</v>
      </c>
      <c r="M81" s="1477">
        <v>4.9036999999999997E-2</v>
      </c>
      <c r="N81" s="1478">
        <v>1.024527080131981</v>
      </c>
      <c r="O81" s="1478">
        <v>1.024527080131981</v>
      </c>
    </row>
    <row r="82" spans="2:15">
      <c r="B82" s="1390">
        <v>34912</v>
      </c>
      <c r="C82" s="1391">
        <v>121.729</v>
      </c>
      <c r="D82" s="1391">
        <v>1178.9100000000001</v>
      </c>
      <c r="E82" s="1391">
        <v>1.0383979241220025</v>
      </c>
      <c r="F82" s="1391">
        <v>1.6868021095747234</v>
      </c>
      <c r="G82" s="7">
        <v>41036.512291666666</v>
      </c>
      <c r="K82" s="1475">
        <v>42139</v>
      </c>
      <c r="L82" s="1476" t="s">
        <v>2127</v>
      </c>
      <c r="M82" s="1477">
        <v>4.9036999999999997E-2</v>
      </c>
      <c r="N82" s="1478">
        <v>1.0250294774762654</v>
      </c>
      <c r="O82" s="1478">
        <v>1.0250294774762654</v>
      </c>
    </row>
    <row r="83" spans="2:15">
      <c r="B83" s="1390">
        <v>34943</v>
      </c>
      <c r="C83" s="1391">
        <v>120.869</v>
      </c>
      <c r="D83" s="1391">
        <v>1190.58</v>
      </c>
      <c r="E83" s="1391">
        <v>1.0349384575781275</v>
      </c>
      <c r="F83" s="1391">
        <v>1.745736373522796</v>
      </c>
      <c r="K83" s="1475">
        <v>42140</v>
      </c>
      <c r="L83" s="1476"/>
      <c r="M83" s="1477">
        <v>0</v>
      </c>
      <c r="N83" s="1478">
        <v>1.0250294774762654</v>
      </c>
      <c r="O83" s="1478">
        <v>1.0250294774762654</v>
      </c>
    </row>
    <row r="84" spans="2:15">
      <c r="B84" s="1390">
        <v>34973</v>
      </c>
      <c r="C84" s="1391">
        <v>121.503</v>
      </c>
      <c r="D84" s="1391">
        <v>1207.3699999999999</v>
      </c>
      <c r="E84" s="1391">
        <v>1.0324041438440343</v>
      </c>
      <c r="F84" s="1391">
        <v>1.8023054660841915</v>
      </c>
      <c r="K84" s="1475">
        <v>42141</v>
      </c>
      <c r="L84" s="1476"/>
      <c r="M84" s="1477">
        <v>0</v>
      </c>
      <c r="N84" s="1478">
        <v>1.0250294774762654</v>
      </c>
      <c r="O84" s="1478">
        <v>1.0250294774762654</v>
      </c>
    </row>
    <row r="85" spans="2:15">
      <c r="B85" s="1390">
        <v>35004</v>
      </c>
      <c r="C85" s="1391">
        <v>122.955</v>
      </c>
      <c r="D85" s="1391">
        <v>1225.1199999999999</v>
      </c>
      <c r="E85" s="1391">
        <v>1.0316999077357936</v>
      </c>
      <c r="F85" s="1391">
        <v>1.8594383830707768</v>
      </c>
      <c r="K85" s="1475">
        <v>42142</v>
      </c>
      <c r="L85" s="1476" t="s">
        <v>2127</v>
      </c>
      <c r="M85" s="1477">
        <v>4.9036999999999997E-2</v>
      </c>
      <c r="N85" s="1478">
        <v>1.0255321211811355</v>
      </c>
      <c r="O85" s="1478">
        <v>1.0255321211811355</v>
      </c>
    </row>
    <row r="86" spans="2:15">
      <c r="B86" s="1390">
        <v>35034</v>
      </c>
      <c r="C86" s="1391">
        <v>123.833</v>
      </c>
      <c r="D86" s="1391">
        <v>1244.23</v>
      </c>
      <c r="E86" s="1391">
        <v>1.0292086837764389</v>
      </c>
      <c r="F86" s="1391">
        <v>1.913750130803664</v>
      </c>
      <c r="K86" s="1475">
        <v>42143</v>
      </c>
      <c r="L86" s="1476" t="s">
        <v>2127</v>
      </c>
      <c r="M86" s="1477">
        <v>4.9036999999999997E-2</v>
      </c>
      <c r="N86" s="1478">
        <v>1.0260350113673991</v>
      </c>
      <c r="O86" s="1478">
        <v>1.0260350113673991</v>
      </c>
    </row>
    <row r="87" spans="2:15">
      <c r="B87" s="1390">
        <v>35065</v>
      </c>
      <c r="C87" s="1391">
        <v>125.977</v>
      </c>
      <c r="D87" s="1391">
        <v>1260.9000000000001</v>
      </c>
      <c r="E87" s="1391">
        <v>1.0271429062533448</v>
      </c>
      <c r="F87" s="1391">
        <v>1.9656948711963942</v>
      </c>
      <c r="K87" s="1475">
        <v>42144</v>
      </c>
      <c r="L87" s="1476" t="s">
        <v>2127</v>
      </c>
      <c r="M87" s="1477">
        <v>4.9036999999999997E-2</v>
      </c>
      <c r="N87" s="1478">
        <v>1.0265381481559233</v>
      </c>
      <c r="O87" s="1478">
        <v>1.0265381481559233</v>
      </c>
    </row>
    <row r="88" spans="2:15">
      <c r="B88" s="1390">
        <v>35096</v>
      </c>
      <c r="C88" s="1391">
        <v>127.202</v>
      </c>
      <c r="D88" s="1391">
        <v>1273.8900000000001</v>
      </c>
      <c r="E88" s="1391">
        <v>1.026088709032714</v>
      </c>
      <c r="F88" s="1391">
        <v>2.0169773127381352</v>
      </c>
      <c r="K88" s="1475">
        <v>42145</v>
      </c>
      <c r="L88" s="1476" t="s">
        <v>2127</v>
      </c>
      <c r="M88" s="1477">
        <v>4.9036999999999997E-2</v>
      </c>
      <c r="N88" s="1478">
        <v>1.0270415316676345</v>
      </c>
      <c r="O88" s="1478">
        <v>1.0270415316676345</v>
      </c>
    </row>
    <row r="89" spans="2:15">
      <c r="B89" s="1390">
        <v>35125</v>
      </c>
      <c r="C89" s="1391">
        <v>127.715</v>
      </c>
      <c r="D89" s="1391">
        <v>1278.3499999999999</v>
      </c>
      <c r="E89" s="1391">
        <v>1.0222082178682002</v>
      </c>
      <c r="F89" s="1391">
        <v>2.0617707843346404</v>
      </c>
      <c r="K89" s="1475">
        <v>42146</v>
      </c>
      <c r="L89" s="1476" t="s">
        <v>2127</v>
      </c>
      <c r="M89" s="1477">
        <v>4.9036999999999997E-2</v>
      </c>
      <c r="N89" s="1478">
        <v>1.0275451620235183</v>
      </c>
      <c r="O89" s="1478">
        <v>1.0275451620235183</v>
      </c>
    </row>
    <row r="90" spans="2:15">
      <c r="B90" s="1390">
        <v>35156</v>
      </c>
      <c r="C90" s="1391">
        <v>128.13</v>
      </c>
      <c r="D90" s="1391">
        <v>1294.46</v>
      </c>
      <c r="E90" s="1391">
        <v>1.0227569082086725</v>
      </c>
      <c r="F90" s="1391">
        <v>2.1086903128210666</v>
      </c>
      <c r="K90" s="1475">
        <v>42147</v>
      </c>
      <c r="L90" s="1476"/>
      <c r="M90" s="1477">
        <v>0</v>
      </c>
      <c r="N90" s="1478">
        <v>1.0275451620235183</v>
      </c>
      <c r="O90" s="1478">
        <v>1.0275451620235183</v>
      </c>
    </row>
    <row r="91" spans="2:15">
      <c r="B91" s="1390">
        <v>35186</v>
      </c>
      <c r="C91" s="1391">
        <v>130.12100000000001</v>
      </c>
      <c r="D91" s="1391">
        <v>1310.25</v>
      </c>
      <c r="E91" s="1391">
        <v>1.0210626514511167</v>
      </c>
      <c r="F91" s="1391">
        <v>2.1531049218983629</v>
      </c>
      <c r="K91" s="1475">
        <v>42148</v>
      </c>
      <c r="L91" s="1476"/>
      <c r="M91" s="1477">
        <v>0</v>
      </c>
      <c r="N91" s="1478">
        <v>1.0275451620235183</v>
      </c>
      <c r="O91" s="1478">
        <v>1.0275451620235183</v>
      </c>
    </row>
    <row r="92" spans="2:15">
      <c r="B92" s="1390">
        <v>35217</v>
      </c>
      <c r="C92" s="1391">
        <v>131.44499999999999</v>
      </c>
      <c r="D92" s="1391">
        <v>1325.84</v>
      </c>
      <c r="E92" s="1391">
        <v>1.020826552130859</v>
      </c>
      <c r="F92" s="1391">
        <v>2.1979466737974884</v>
      </c>
      <c r="K92" s="1475">
        <v>42149</v>
      </c>
      <c r="L92" s="1476" t="s">
        <v>2127</v>
      </c>
      <c r="M92" s="1477">
        <v>4.9036999999999997E-2</v>
      </c>
      <c r="N92" s="1478">
        <v>1.0280490393446198</v>
      </c>
      <c r="O92" s="1478">
        <v>1.0280490393446198</v>
      </c>
    </row>
    <row r="93" spans="2:15">
      <c r="B93" s="1390">
        <v>35247</v>
      </c>
      <c r="C93" s="1391">
        <v>133.21299999999999</v>
      </c>
      <c r="D93" s="1391">
        <v>1340.56</v>
      </c>
      <c r="E93" s="1391">
        <v>1.0192856968560815</v>
      </c>
      <c r="F93" s="1391">
        <v>2.2403356070541793</v>
      </c>
      <c r="K93" s="1475">
        <v>42150</v>
      </c>
      <c r="L93" s="1476" t="s">
        <v>2127</v>
      </c>
      <c r="M93" s="1477">
        <v>4.9036999999999997E-2</v>
      </c>
      <c r="N93" s="1478">
        <v>1.0285531637520433</v>
      </c>
      <c r="O93" s="1478">
        <v>1.0285531637520433</v>
      </c>
    </row>
    <row r="94" spans="2:15">
      <c r="B94" s="1390">
        <v>35278</v>
      </c>
      <c r="C94" s="1391">
        <v>133.58699999999999</v>
      </c>
      <c r="D94" s="1391">
        <v>1346.46</v>
      </c>
      <c r="E94" s="1391">
        <v>1.0196791435025818</v>
      </c>
      <c r="F94" s="1391">
        <v>2.2844234929593421</v>
      </c>
      <c r="K94" s="1475">
        <v>42151</v>
      </c>
      <c r="L94" s="1476" t="s">
        <v>2127</v>
      </c>
      <c r="M94" s="1477">
        <v>4.9036999999999997E-2</v>
      </c>
      <c r="N94" s="1478">
        <v>1.0290575353669524</v>
      </c>
      <c r="O94" s="1478">
        <v>1.0290575353669524</v>
      </c>
    </row>
    <row r="95" spans="2:15">
      <c r="B95" s="1390">
        <v>35309</v>
      </c>
      <c r="C95" s="1391">
        <v>133.72200000000001</v>
      </c>
      <c r="D95" s="1391">
        <v>1348.48</v>
      </c>
      <c r="E95" s="1391">
        <v>1.0190405257020327</v>
      </c>
      <c r="F95" s="1391">
        <v>2.3279201171913617</v>
      </c>
      <c r="K95" s="1475">
        <v>42152</v>
      </c>
      <c r="L95" s="1476" t="s">
        <v>2127</v>
      </c>
      <c r="M95" s="1477">
        <v>4.9036999999999997E-2</v>
      </c>
      <c r="N95" s="1478">
        <v>1.0295621543105704</v>
      </c>
      <c r="O95" s="1478">
        <v>1.0295621543105704</v>
      </c>
    </row>
    <row r="96" spans="2:15">
      <c r="B96" s="1390">
        <v>35339</v>
      </c>
      <c r="C96" s="1391">
        <v>133.97800000000001</v>
      </c>
      <c r="D96" s="1391">
        <v>1352.53</v>
      </c>
      <c r="E96" s="1391">
        <v>1.0194350405573067</v>
      </c>
      <c r="F96" s="1391">
        <v>2.3731633390831459</v>
      </c>
      <c r="K96" s="1475">
        <v>42153</v>
      </c>
      <c r="L96" s="1476" t="s">
        <v>2127</v>
      </c>
      <c r="M96" s="1477">
        <v>4.9036999999999997E-2</v>
      </c>
      <c r="N96" s="1478">
        <v>1.0300670207041798</v>
      </c>
      <c r="O96" s="1478">
        <v>1.0300670207041798</v>
      </c>
    </row>
    <row r="97" spans="2:15">
      <c r="B97" s="1390">
        <v>35370</v>
      </c>
      <c r="C97" s="1391">
        <v>134.24199999999999</v>
      </c>
      <c r="D97" s="1391">
        <v>1356.86</v>
      </c>
      <c r="E97" s="1391">
        <v>1.018952291397875</v>
      </c>
      <c r="F97" s="1391">
        <v>2.4181402222202037</v>
      </c>
      <c r="K97" s="1475">
        <v>42154</v>
      </c>
      <c r="L97" s="1476"/>
      <c r="M97" s="1477">
        <v>0</v>
      </c>
      <c r="N97" s="1478">
        <v>1.0300670207041798</v>
      </c>
      <c r="O97" s="1478">
        <v>1.0300670207041798</v>
      </c>
    </row>
    <row r="98" spans="2:15">
      <c r="B98" s="1390">
        <v>35400</v>
      </c>
      <c r="C98" s="1391">
        <v>135.22499999999999</v>
      </c>
      <c r="D98" s="1391">
        <v>1363.24</v>
      </c>
      <c r="E98" s="1391">
        <v>1.0189221360623306</v>
      </c>
      <c r="F98" s="1391">
        <v>2.4638966005228489</v>
      </c>
      <c r="K98" s="1475">
        <v>42155</v>
      </c>
      <c r="L98" s="1476"/>
      <c r="M98" s="1477">
        <v>0</v>
      </c>
      <c r="N98" s="1478">
        <v>1.0300670207041798</v>
      </c>
      <c r="O98" s="1478">
        <v>1.0300670207041798</v>
      </c>
    </row>
    <row r="99" spans="2:15">
      <c r="B99" s="1390">
        <v>35431</v>
      </c>
      <c r="C99" s="1391">
        <v>137.613</v>
      </c>
      <c r="D99" s="1391">
        <v>1379.33</v>
      </c>
      <c r="E99" s="1391">
        <v>1.0182168360386268</v>
      </c>
      <c r="F99" s="1391">
        <v>2.5087810009107034</v>
      </c>
      <c r="K99" s="1475">
        <v>42156</v>
      </c>
      <c r="L99" s="1476" t="s">
        <v>2127</v>
      </c>
      <c r="M99" s="1477">
        <v>4.9036999999999997E-2</v>
      </c>
      <c r="N99" s="1478">
        <v>1.0305721346691226</v>
      </c>
      <c r="O99" s="1478">
        <v>1.0305721346691226</v>
      </c>
    </row>
    <row r="100" spans="2:15">
      <c r="B100" s="1390">
        <v>35462</v>
      </c>
      <c r="C100" s="1391">
        <v>138.20400000000001</v>
      </c>
      <c r="D100" s="1391">
        <v>1386.23</v>
      </c>
      <c r="E100" s="1391">
        <v>1.018615977536991</v>
      </c>
      <c r="F100" s="1391">
        <v>2.5554844116688868</v>
      </c>
      <c r="K100" s="1475">
        <v>42157</v>
      </c>
      <c r="L100" s="1476" t="s">
        <v>2127</v>
      </c>
      <c r="M100" s="1477">
        <v>4.9036999999999997E-2</v>
      </c>
      <c r="N100" s="1478">
        <v>1.0310774963268003</v>
      </c>
      <c r="O100" s="1478">
        <v>1.0310774963268003</v>
      </c>
    </row>
    <row r="101" spans="2:15">
      <c r="B101" s="1390">
        <v>35490</v>
      </c>
      <c r="C101" s="1391">
        <v>139.79499999999999</v>
      </c>
      <c r="D101" s="1391">
        <v>1393.3</v>
      </c>
      <c r="E101" s="1391">
        <v>1.0181653196053577</v>
      </c>
      <c r="F101" s="1391">
        <v>2.6019056027533618</v>
      </c>
      <c r="K101" s="1475">
        <v>42158</v>
      </c>
      <c r="L101" s="1476" t="s">
        <v>2127</v>
      </c>
      <c r="M101" s="1477">
        <v>4.9036999999999997E-2</v>
      </c>
      <c r="N101" s="1478">
        <v>1.0315831057986742</v>
      </c>
      <c r="O101" s="1478">
        <v>1.0315831057986742</v>
      </c>
    </row>
    <row r="102" spans="2:15">
      <c r="B102" s="1390">
        <v>35521</v>
      </c>
      <c r="C102" s="1391">
        <v>140.74199999999999</v>
      </c>
      <c r="D102" s="1391">
        <v>1405.56</v>
      </c>
      <c r="E102" s="1391">
        <v>1.0174130782041242</v>
      </c>
      <c r="F102" s="1391">
        <v>2.6472127884938548</v>
      </c>
      <c r="K102" s="1475">
        <v>42159</v>
      </c>
      <c r="L102" s="1476"/>
      <c r="M102" s="1477">
        <v>0</v>
      </c>
      <c r="N102" s="1478">
        <v>1.0315831057986742</v>
      </c>
      <c r="O102" s="1478">
        <v>1.0315831057986742</v>
      </c>
    </row>
    <row r="103" spans="2:15">
      <c r="B103" s="1390">
        <v>35551</v>
      </c>
      <c r="C103" s="1391">
        <v>141.04</v>
      </c>
      <c r="D103" s="1391">
        <v>1411.32</v>
      </c>
      <c r="E103" s="1391">
        <v>1.0173859708262292</v>
      </c>
      <c r="F103" s="1391">
        <v>2.6932371528054295</v>
      </c>
      <c r="K103" s="1475">
        <v>42160</v>
      </c>
      <c r="L103" s="1476" t="s">
        <v>2127</v>
      </c>
      <c r="M103" s="1477">
        <v>5.0788E-2</v>
      </c>
      <c r="N103" s="1478">
        <v>1.0321070262264471</v>
      </c>
      <c r="O103" s="1478">
        <v>1.0321070262264471</v>
      </c>
    </row>
    <row r="104" spans="2:15">
      <c r="B104" s="1390">
        <v>35582</v>
      </c>
      <c r="C104" s="1391">
        <v>142.09</v>
      </c>
      <c r="D104" s="1391">
        <v>1418.94</v>
      </c>
      <c r="E104" s="1391">
        <v>1.0160683269749473</v>
      </c>
      <c r="F104" s="1391">
        <v>2.7365129679977831</v>
      </c>
      <c r="K104" s="1475">
        <v>42161</v>
      </c>
      <c r="L104" s="1476"/>
      <c r="M104" s="1477">
        <v>0</v>
      </c>
      <c r="N104" s="1478">
        <v>1.0321070262264471</v>
      </c>
      <c r="O104" s="1478">
        <v>1.0321070262264471</v>
      </c>
    </row>
    <row r="105" spans="2:15">
      <c r="B105" s="1390">
        <v>35612</v>
      </c>
      <c r="C105" s="1391">
        <v>142.221</v>
      </c>
      <c r="D105" s="1391">
        <v>1422.06</v>
      </c>
      <c r="E105" s="1391">
        <v>1.0160384417373229</v>
      </c>
      <c r="F105" s="1391">
        <v>2.7804023717984441</v>
      </c>
      <c r="K105" s="1475">
        <v>42162</v>
      </c>
      <c r="L105" s="1476"/>
      <c r="M105" s="1477">
        <v>0</v>
      </c>
      <c r="N105" s="1478">
        <v>1.0321070262264471</v>
      </c>
      <c r="O105" s="1478">
        <v>1.0321070262264471</v>
      </c>
    </row>
    <row r="106" spans="2:15">
      <c r="B106" s="1390">
        <v>35643</v>
      </c>
      <c r="C106" s="1391">
        <v>142.35300000000001</v>
      </c>
      <c r="D106" s="1391">
        <v>1421.78</v>
      </c>
      <c r="E106" s="1391">
        <v>1.0158585469231169</v>
      </c>
      <c r="F106" s="1391">
        <v>2.8244955132767555</v>
      </c>
      <c r="K106" s="1475">
        <v>42163</v>
      </c>
      <c r="L106" s="1476" t="s">
        <v>2127</v>
      </c>
      <c r="M106" s="1477">
        <v>5.0788E-2</v>
      </c>
      <c r="N106" s="1478">
        <v>1.0326312127429271</v>
      </c>
      <c r="O106" s="1478">
        <v>1.0326312127429271</v>
      </c>
    </row>
    <row r="107" spans="2:15">
      <c r="B107" s="1390">
        <v>35674</v>
      </c>
      <c r="C107" s="1391">
        <v>143.042</v>
      </c>
      <c r="D107" s="1391">
        <v>1422.63</v>
      </c>
      <c r="E107" s="1391">
        <v>1.0159028051900765</v>
      </c>
      <c r="F107" s="1391">
        <v>2.869412915184641</v>
      </c>
      <c r="K107" s="1475">
        <v>42164</v>
      </c>
      <c r="L107" s="1476" t="s">
        <v>2127</v>
      </c>
      <c r="M107" s="1477">
        <v>5.0788E-2</v>
      </c>
      <c r="N107" s="1478">
        <v>1.033155665483255</v>
      </c>
      <c r="O107" s="1478">
        <v>1.033155665483255</v>
      </c>
    </row>
    <row r="108" spans="2:15">
      <c r="B108" s="1390">
        <v>35704</v>
      </c>
      <c r="C108" s="1391">
        <v>143.56700000000001</v>
      </c>
      <c r="D108" s="1391">
        <v>1425.9</v>
      </c>
      <c r="E108" s="1391">
        <v>1.0167288802763557</v>
      </c>
      <c r="F108" s="1391">
        <v>2.9174149803061935</v>
      </c>
      <c r="K108" s="1475">
        <v>42165</v>
      </c>
      <c r="L108" s="1476" t="s">
        <v>2127</v>
      </c>
      <c r="M108" s="1477">
        <v>5.0788E-2</v>
      </c>
      <c r="N108" s="1478">
        <v>1.0336803845826406</v>
      </c>
      <c r="O108" s="1478">
        <v>1.0336803845826406</v>
      </c>
    </row>
    <row r="109" spans="2:15">
      <c r="B109" s="1390">
        <v>35735</v>
      </c>
      <c r="C109" s="1391">
        <v>144.48099999999999</v>
      </c>
      <c r="D109" s="1391">
        <v>1428.32</v>
      </c>
      <c r="E109" s="1391">
        <v>1.0304347964479648</v>
      </c>
      <c r="F109" s="1391">
        <v>3.0062059113860555</v>
      </c>
      <c r="K109" s="1475">
        <v>42166</v>
      </c>
      <c r="L109" s="1476" t="s">
        <v>2127</v>
      </c>
      <c r="M109" s="1477">
        <v>5.0788E-2</v>
      </c>
      <c r="N109" s="1478">
        <v>1.0342053701763625</v>
      </c>
      <c r="O109" s="1478">
        <v>1.0342053701763625</v>
      </c>
    </row>
    <row r="110" spans="2:15">
      <c r="B110" s="1390">
        <v>35765</v>
      </c>
      <c r="C110" s="1391">
        <v>145.69499999999999</v>
      </c>
      <c r="D110" s="1391">
        <v>1434.46</v>
      </c>
      <c r="E110" s="1391">
        <v>1.0311549813439238</v>
      </c>
      <c r="F110" s="1391">
        <v>3.0998642004712815</v>
      </c>
      <c r="K110" s="1475">
        <v>42167</v>
      </c>
      <c r="L110" s="1476" t="s">
        <v>2127</v>
      </c>
      <c r="M110" s="1477">
        <v>5.0788E-2</v>
      </c>
      <c r="N110" s="1478">
        <v>1.0347306223997677</v>
      </c>
      <c r="O110" s="1478">
        <v>1.0347306223997677</v>
      </c>
    </row>
    <row r="111" spans="2:15">
      <c r="B111" s="1390">
        <v>35796</v>
      </c>
      <c r="C111" s="1391">
        <v>147.09100000000001</v>
      </c>
      <c r="D111" s="1391">
        <v>1444.64</v>
      </c>
      <c r="E111" s="1391">
        <v>1.0280960413836384</v>
      </c>
      <c r="F111" s="1391">
        <v>3.1869581133313818</v>
      </c>
      <c r="K111" s="1475">
        <v>42168</v>
      </c>
      <c r="L111" s="1476"/>
      <c r="M111" s="1477">
        <v>0</v>
      </c>
      <c r="N111" s="1478">
        <v>1.0347306223997677</v>
      </c>
      <c r="O111" s="1478">
        <v>1.0347306223997677</v>
      </c>
    </row>
    <row r="112" spans="2:15">
      <c r="B112" s="1390">
        <v>35827</v>
      </c>
      <c r="C112" s="1391">
        <v>147.35599999999999</v>
      </c>
      <c r="D112" s="1391">
        <v>1451.29</v>
      </c>
      <c r="E112" s="1391">
        <v>1.0236711069024262</v>
      </c>
      <c r="F112" s="1391">
        <v>3.2623969395256034</v>
      </c>
      <c r="K112" s="1475">
        <v>42169</v>
      </c>
      <c r="L112" s="1476"/>
      <c r="M112" s="1477">
        <v>0</v>
      </c>
      <c r="N112" s="1478">
        <v>1.0347306223997677</v>
      </c>
      <c r="O112" s="1478">
        <v>1.0347306223997677</v>
      </c>
    </row>
    <row r="113" spans="2:15">
      <c r="B113" s="1390">
        <v>35855</v>
      </c>
      <c r="C113" s="1391">
        <v>147.63499999999999</v>
      </c>
      <c r="D113" s="1391">
        <v>1456.22</v>
      </c>
      <c r="E113" s="1391">
        <v>1.0220072916308196</v>
      </c>
      <c r="F113" s="1391">
        <v>3.3341934603892365</v>
      </c>
      <c r="K113" s="1475">
        <v>42170</v>
      </c>
      <c r="L113" s="1476" t="s">
        <v>2127</v>
      </c>
      <c r="M113" s="1477">
        <v>5.0788E-2</v>
      </c>
      <c r="N113" s="1478">
        <v>1.0352561413882722</v>
      </c>
      <c r="O113" s="1478">
        <v>1.0352561413882722</v>
      </c>
    </row>
    <row r="114" spans="2:15">
      <c r="B114" s="1390">
        <v>35886</v>
      </c>
      <c r="C114" s="1391">
        <v>147.821</v>
      </c>
      <c r="D114" s="1391">
        <v>1459.71</v>
      </c>
      <c r="E114" s="1391">
        <v>1.0199031041694671</v>
      </c>
      <c r="F114" s="1391">
        <v>3.4005542601525192</v>
      </c>
      <c r="K114" s="1475">
        <v>42171</v>
      </c>
      <c r="L114" s="1476" t="s">
        <v>2127</v>
      </c>
      <c r="M114" s="1477">
        <v>5.0788E-2</v>
      </c>
      <c r="N114" s="1478">
        <v>1.0357819272773605</v>
      </c>
      <c r="O114" s="1478">
        <v>1.0357819272773605</v>
      </c>
    </row>
    <row r="115" spans="2:15">
      <c r="B115" s="1390">
        <v>35916</v>
      </c>
      <c r="C115" s="1391">
        <v>148.02099999999999</v>
      </c>
      <c r="D115" s="1391">
        <v>1467.01</v>
      </c>
      <c r="E115" s="1391">
        <v>1.0171306475499944</v>
      </c>
      <c r="F115" s="1391">
        <v>3.4588079566578238</v>
      </c>
      <c r="K115" s="1475">
        <v>42172</v>
      </c>
      <c r="L115" s="1476" t="s">
        <v>2127</v>
      </c>
      <c r="M115" s="1477">
        <v>5.0788E-2</v>
      </c>
      <c r="N115" s="1478">
        <v>1.0363079802025861</v>
      </c>
      <c r="O115" s="1478">
        <v>1.0363079802025861</v>
      </c>
    </row>
    <row r="116" spans="2:15">
      <c r="B116" s="1390">
        <v>35947</v>
      </c>
      <c r="C116" s="1391">
        <v>148.58799999999999</v>
      </c>
      <c r="D116" s="1391">
        <v>1467.3</v>
      </c>
      <c r="E116" s="1391">
        <v>1.0167959651913006</v>
      </c>
      <c r="F116" s="1391">
        <v>3.5169019747012422</v>
      </c>
      <c r="K116" s="1475">
        <v>42173</v>
      </c>
      <c r="L116" s="1476" t="s">
        <v>2127</v>
      </c>
      <c r="M116" s="1477">
        <v>5.0788E-2</v>
      </c>
      <c r="N116" s="1478">
        <v>1.0368343002995715</v>
      </c>
      <c r="O116" s="1478">
        <v>1.0368343002995715</v>
      </c>
    </row>
    <row r="117" spans="2:15">
      <c r="B117" s="1390">
        <v>35977</v>
      </c>
      <c r="C117" s="1391">
        <v>148.339</v>
      </c>
      <c r="D117" s="1391">
        <v>1465.54</v>
      </c>
      <c r="E117" s="1391">
        <v>1.0170373206405035</v>
      </c>
      <c r="F117" s="1391">
        <v>3.5768205613054471</v>
      </c>
      <c r="K117" s="1475">
        <v>42174</v>
      </c>
      <c r="L117" s="1476" t="s">
        <v>2127</v>
      </c>
      <c r="M117" s="1477">
        <v>5.0788E-2</v>
      </c>
      <c r="N117" s="1478">
        <v>1.0373608877040077</v>
      </c>
      <c r="O117" s="1478">
        <v>1.0373608877040077</v>
      </c>
    </row>
    <row r="118" spans="2:15">
      <c r="B118" s="1390">
        <v>36008</v>
      </c>
      <c r="C118" s="1391">
        <v>148.10900000000001</v>
      </c>
      <c r="D118" s="1391">
        <v>1458.07</v>
      </c>
      <c r="E118" s="1391">
        <v>1.0147631694962493</v>
      </c>
      <c r="F118" s="1391">
        <v>3.6296257695096692</v>
      </c>
      <c r="K118" s="1475">
        <v>42175</v>
      </c>
      <c r="L118" s="1476"/>
      <c r="M118" s="1477">
        <v>0</v>
      </c>
      <c r="N118" s="1478">
        <v>1.0373608877040077</v>
      </c>
      <c r="O118" s="1478">
        <v>1.0373608877040077</v>
      </c>
    </row>
    <row r="119" spans="2:15">
      <c r="B119" s="1390">
        <v>36039</v>
      </c>
      <c r="C119" s="1391">
        <v>147.98400000000001</v>
      </c>
      <c r="D119" s="1391">
        <v>1454.86</v>
      </c>
      <c r="E119" s="1391">
        <v>1.0255896332244516</v>
      </c>
      <c r="F119" s="1391">
        <v>3.7225065616934394</v>
      </c>
      <c r="K119" s="1475">
        <v>42176</v>
      </c>
      <c r="L119" s="1476"/>
      <c r="M119" s="1477">
        <v>0</v>
      </c>
      <c r="N119" s="1478">
        <v>1.0373608877040077</v>
      </c>
      <c r="O119" s="1478">
        <v>1.0373608877040077</v>
      </c>
    </row>
    <row r="120" spans="2:15">
      <c r="B120" s="1390">
        <v>36069</v>
      </c>
      <c r="C120" s="1391">
        <v>148.1</v>
      </c>
      <c r="D120" s="1391">
        <v>1455.15</v>
      </c>
      <c r="E120" s="1391">
        <v>1.0308188720930029</v>
      </c>
      <c r="F120" s="1391">
        <v>3.8372300152836338</v>
      </c>
      <c r="K120" s="1475">
        <v>42177</v>
      </c>
      <c r="L120" s="1476" t="s">
        <v>2127</v>
      </c>
      <c r="M120" s="1477">
        <v>5.0788E-2</v>
      </c>
      <c r="N120" s="1478">
        <v>1.0378877425516548</v>
      </c>
      <c r="O120" s="1478">
        <v>1.0378877425516548</v>
      </c>
    </row>
    <row r="121" spans="2:15">
      <c r="B121" s="1390">
        <v>36100</v>
      </c>
      <c r="C121" s="1391">
        <v>147.62799999999999</v>
      </c>
      <c r="D121" s="1391">
        <v>1453.4</v>
      </c>
      <c r="E121" s="1391">
        <v>1.0277678356785036</v>
      </c>
      <c r="F121" s="1391">
        <v>3.9437815878086515</v>
      </c>
      <c r="K121" s="1475">
        <v>42178</v>
      </c>
      <c r="L121" s="1476" t="s">
        <v>2127</v>
      </c>
      <c r="M121" s="1477">
        <v>5.0788E-2</v>
      </c>
      <c r="N121" s="1478">
        <v>1.038414864978342</v>
      </c>
      <c r="O121" s="1478">
        <v>1.038414864978342</v>
      </c>
    </row>
    <row r="122" spans="2:15">
      <c r="B122" s="1390">
        <v>36130</v>
      </c>
      <c r="C122" s="1391">
        <v>148.291</v>
      </c>
      <c r="D122" s="1391">
        <v>1458.2</v>
      </c>
      <c r="E122" s="1391">
        <v>1.025049538167373</v>
      </c>
      <c r="F122" s="1391">
        <v>4.0425714952162473</v>
      </c>
      <c r="K122" s="1475">
        <v>42179</v>
      </c>
      <c r="L122" s="1476" t="s">
        <v>2127</v>
      </c>
      <c r="M122" s="1477">
        <v>5.0788E-2</v>
      </c>
      <c r="N122" s="1478">
        <v>1.0389422551199672</v>
      </c>
      <c r="O122" s="1478">
        <v>1.0389422551199672</v>
      </c>
    </row>
    <row r="123" spans="2:15">
      <c r="B123" s="1390">
        <v>36161</v>
      </c>
      <c r="C123" s="1391">
        <v>149.53299999999999</v>
      </c>
      <c r="D123" s="1391">
        <v>1468.41</v>
      </c>
      <c r="E123" s="1391">
        <v>1.022811290449001</v>
      </c>
      <c r="F123" s="1391">
        <v>4.1347877677544771</v>
      </c>
      <c r="K123" s="1475">
        <v>42180</v>
      </c>
      <c r="L123" s="1476" t="s">
        <v>2127</v>
      </c>
      <c r="M123" s="1477">
        <v>5.0788E-2</v>
      </c>
      <c r="N123" s="1478">
        <v>1.0394699131124976</v>
      </c>
      <c r="O123" s="1478">
        <v>1.0394699131124976</v>
      </c>
    </row>
    <row r="124" spans="2:15">
      <c r="B124" s="1390">
        <v>36192</v>
      </c>
      <c r="C124" s="1391">
        <v>154.93299999999999</v>
      </c>
      <c r="D124" s="1391">
        <v>1483.83</v>
      </c>
      <c r="E124" s="1391">
        <v>1.0264662861429437</v>
      </c>
      <c r="F124" s="1391">
        <v>4.2442202439562102</v>
      </c>
      <c r="K124" s="1475">
        <v>42181</v>
      </c>
      <c r="L124" s="1476" t="s">
        <v>2127</v>
      </c>
      <c r="M124" s="1477">
        <v>5.0788E-2</v>
      </c>
      <c r="N124" s="1478">
        <v>1.0399978390919691</v>
      </c>
      <c r="O124" s="1478">
        <v>1.0399978390919691</v>
      </c>
    </row>
    <row r="125" spans="2:15">
      <c r="B125" s="1390">
        <v>36220</v>
      </c>
      <c r="C125" s="1391">
        <v>159.32499999999999</v>
      </c>
      <c r="D125" s="1391">
        <v>1500.15</v>
      </c>
      <c r="E125" s="1391">
        <v>1.033345195070198</v>
      </c>
      <c r="F125" s="1391">
        <v>4.3857445959118131</v>
      </c>
      <c r="K125" s="1475">
        <v>42182</v>
      </c>
      <c r="L125" s="1476"/>
      <c r="M125" s="1477">
        <v>0</v>
      </c>
      <c r="N125" s="1478">
        <v>1.0399978390919691</v>
      </c>
      <c r="O125" s="1478">
        <v>1.0399978390919691</v>
      </c>
    </row>
    <row r="126" spans="2:15">
      <c r="B126" s="1390">
        <v>36251</v>
      </c>
      <c r="C126" s="1391">
        <v>160.459</v>
      </c>
      <c r="D126" s="1391">
        <v>1508.55</v>
      </c>
      <c r="E126" s="1391">
        <v>1.027563660965396</v>
      </c>
      <c r="F126" s="1391">
        <v>4.5066317730343437</v>
      </c>
      <c r="K126" s="1475">
        <v>42183</v>
      </c>
      <c r="L126" s="1476"/>
      <c r="M126" s="1477">
        <v>0</v>
      </c>
      <c r="N126" s="1478">
        <v>1.0399978390919691</v>
      </c>
      <c r="O126" s="1478">
        <v>1.0399978390919691</v>
      </c>
    </row>
    <row r="127" spans="2:15">
      <c r="B127" s="1390">
        <v>36281</v>
      </c>
      <c r="C127" s="1391">
        <v>159.99600000000001</v>
      </c>
      <c r="D127" s="1391">
        <v>1513.08</v>
      </c>
      <c r="E127" s="1391">
        <v>1.0201883000304468</v>
      </c>
      <c r="F127" s="1391">
        <v>4.5976130073951058</v>
      </c>
      <c r="K127" s="1475">
        <v>42184</v>
      </c>
      <c r="L127" s="1476" t="s">
        <v>2127</v>
      </c>
      <c r="M127" s="1477">
        <v>5.0788E-2</v>
      </c>
      <c r="N127" s="1478">
        <v>1.0405260331944872</v>
      </c>
      <c r="O127" s="1478">
        <v>1.0405260331944872</v>
      </c>
    </row>
    <row r="128" spans="2:15">
      <c r="B128" s="1390">
        <v>36312</v>
      </c>
      <c r="C128" s="1391">
        <v>160.57300000000001</v>
      </c>
      <c r="D128" s="1391">
        <v>1515.95</v>
      </c>
      <c r="E128" s="1391">
        <v>1.0175637707499077</v>
      </c>
      <c r="F128" s="1391">
        <v>4.6783644282537873</v>
      </c>
      <c r="K128" s="1475">
        <v>42185</v>
      </c>
      <c r="L128" s="1476" t="s">
        <v>2127</v>
      </c>
      <c r="M128" s="1477">
        <v>5.0788E-2</v>
      </c>
      <c r="N128" s="1478">
        <v>1.041054495556226</v>
      </c>
      <c r="O128" s="1478">
        <v>1.041054495556226</v>
      </c>
    </row>
    <row r="129" spans="2:15">
      <c r="B129" s="1390">
        <v>36342</v>
      </c>
      <c r="C129" s="1391">
        <v>163.06</v>
      </c>
      <c r="D129" s="1391">
        <v>1532.47</v>
      </c>
      <c r="E129" s="1391">
        <v>1.0165876375704719</v>
      </c>
      <c r="F129" s="1391">
        <v>4.7559674418122491</v>
      </c>
      <c r="K129" s="1475">
        <v>42186</v>
      </c>
      <c r="L129" s="1476" t="s">
        <v>2127</v>
      </c>
      <c r="M129" s="1477">
        <v>5.0788E-2</v>
      </c>
      <c r="N129" s="1478">
        <v>1.041583226313429</v>
      </c>
      <c r="O129" s="1478">
        <v>1.041583226313429</v>
      </c>
    </row>
    <row r="130" spans="2:15">
      <c r="B130" s="1390">
        <v>36373</v>
      </c>
      <c r="C130" s="1391">
        <v>165.60300000000001</v>
      </c>
      <c r="D130" s="1391">
        <v>1541.05</v>
      </c>
      <c r="E130" s="1391">
        <v>1.0156847483880824</v>
      </c>
      <c r="F130" s="1391">
        <v>4.8305635944789866</v>
      </c>
      <c r="K130" s="1475">
        <v>42187</v>
      </c>
      <c r="L130" s="1476" t="s">
        <v>2127</v>
      </c>
      <c r="M130" s="1477">
        <v>5.0788E-2</v>
      </c>
      <c r="N130" s="1478">
        <v>1.0421122256024091</v>
      </c>
      <c r="O130" s="1478">
        <v>1.0421122256024091</v>
      </c>
    </row>
    <row r="131" spans="2:15">
      <c r="B131" s="1390">
        <v>36404</v>
      </c>
      <c r="C131" s="1391">
        <v>167.99700000000001</v>
      </c>
      <c r="D131" s="1391">
        <v>1545.83</v>
      </c>
      <c r="E131" s="1391">
        <v>1.0155901672784533</v>
      </c>
      <c r="F131" s="1391">
        <v>4.9058728889661207</v>
      </c>
      <c r="K131" s="1475">
        <v>42188</v>
      </c>
      <c r="L131" s="1476" t="s">
        <v>2127</v>
      </c>
      <c r="M131" s="1477">
        <v>5.0788E-2</v>
      </c>
      <c r="N131" s="1478">
        <v>1.042641493559548</v>
      </c>
      <c r="O131" s="1478">
        <v>1.042641493559548</v>
      </c>
    </row>
    <row r="132" spans="2:15">
      <c r="B132" s="1390">
        <v>36434</v>
      </c>
      <c r="C132" s="1391">
        <v>170.86099999999999</v>
      </c>
      <c r="D132" s="1391">
        <v>1564.23</v>
      </c>
      <c r="E132" s="1391">
        <v>1.0145370189540868</v>
      </c>
      <c r="F132" s="1391">
        <v>4.9771896561393616</v>
      </c>
      <c r="K132" s="1475">
        <v>42189</v>
      </c>
      <c r="L132" s="1476"/>
      <c r="M132" s="1477">
        <v>0</v>
      </c>
      <c r="N132" s="1478">
        <v>1.042641493559548</v>
      </c>
      <c r="O132" s="1478">
        <v>1.042641493559548</v>
      </c>
    </row>
    <row r="133" spans="2:15">
      <c r="B133" s="1390">
        <v>36465</v>
      </c>
      <c r="C133" s="1391">
        <v>174.93899999999999</v>
      </c>
      <c r="D133" s="1391">
        <v>1579.09</v>
      </c>
      <c r="E133" s="1391">
        <v>1.0152599173733607</v>
      </c>
      <c r="F133" s="1391">
        <v>5.0531411590435944</v>
      </c>
      <c r="K133" s="1475">
        <v>42190</v>
      </c>
      <c r="L133" s="1476"/>
      <c r="M133" s="1477">
        <v>0</v>
      </c>
      <c r="N133" s="1478">
        <v>1.042641493559548</v>
      </c>
      <c r="O133" s="1478">
        <v>1.042641493559548</v>
      </c>
    </row>
    <row r="134" spans="2:15">
      <c r="B134" s="1390">
        <v>36495</v>
      </c>
      <c r="C134" s="1391">
        <v>178.09899999999999</v>
      </c>
      <c r="D134" s="1391">
        <v>1588.56</v>
      </c>
      <c r="E134" s="1391">
        <v>1.0159962861507461</v>
      </c>
      <c r="F134" s="1391">
        <v>5.1339726509837682</v>
      </c>
      <c r="K134" s="1475">
        <v>42191</v>
      </c>
      <c r="L134" s="1476" t="s">
        <v>2127</v>
      </c>
      <c r="M134" s="1477">
        <v>5.0788E-2</v>
      </c>
      <c r="N134" s="1478">
        <v>1.0431710303212971</v>
      </c>
      <c r="O134" s="1478">
        <v>1.0431710303212971</v>
      </c>
    </row>
    <row r="135" spans="2:15">
      <c r="B135" s="1390">
        <v>36526</v>
      </c>
      <c r="C135" s="1391">
        <v>180.30099999999999</v>
      </c>
      <c r="D135" s="1391">
        <v>1598.41</v>
      </c>
      <c r="E135" s="1391">
        <v>1.0145573263269665</v>
      </c>
      <c r="F135" s="1391">
        <v>5.20870956621786</v>
      </c>
      <c r="K135" s="1475">
        <v>42192</v>
      </c>
      <c r="L135" s="1476" t="s">
        <v>2127</v>
      </c>
      <c r="M135" s="1477">
        <v>5.0788E-2</v>
      </c>
      <c r="N135" s="1478">
        <v>1.0437008360241766</v>
      </c>
      <c r="O135" s="1478">
        <v>1.0437008360241766</v>
      </c>
    </row>
    <row r="136" spans="2:15">
      <c r="B136" s="1390">
        <v>36557</v>
      </c>
      <c r="C136" s="1391">
        <v>180.935</v>
      </c>
      <c r="D136" s="1391">
        <v>1600.49</v>
      </c>
      <c r="E136" s="1391">
        <v>1.0145089461247463</v>
      </c>
      <c r="F136" s="1391">
        <v>5.2842824526935654</v>
      </c>
      <c r="K136" s="1475">
        <v>42193</v>
      </c>
      <c r="L136" s="1476" t="s">
        <v>2127</v>
      </c>
      <c r="M136" s="1477">
        <v>5.0788E-2</v>
      </c>
      <c r="N136" s="1478">
        <v>1.0442309108047767</v>
      </c>
      <c r="O136" s="1478">
        <v>1.0442309108047767</v>
      </c>
    </row>
    <row r="137" spans="2:15">
      <c r="B137" s="1390">
        <v>36586</v>
      </c>
      <c r="C137" s="1391">
        <v>181.214</v>
      </c>
      <c r="D137" s="1391">
        <v>1604.01</v>
      </c>
      <c r="E137" s="1391">
        <v>1.0158860407835757</v>
      </c>
      <c r="F137" s="1391">
        <v>5.3682287792489891</v>
      </c>
      <c r="K137" s="1475">
        <v>42194</v>
      </c>
      <c r="L137" s="1476" t="s">
        <v>2127</v>
      </c>
      <c r="M137" s="1477">
        <v>5.0788E-2</v>
      </c>
      <c r="N137" s="1478">
        <v>1.0447612547997562</v>
      </c>
      <c r="O137" s="1478">
        <v>1.0447612547997562</v>
      </c>
    </row>
    <row r="138" spans="2:15">
      <c r="B138" s="1390">
        <v>36617</v>
      </c>
      <c r="C138" s="1391">
        <v>181.63499999999999</v>
      </c>
      <c r="D138" s="1391">
        <v>1610.75</v>
      </c>
      <c r="E138" s="1391">
        <v>1.0136441914221253</v>
      </c>
      <c r="F138" s="1391">
        <v>5.4414739203108242</v>
      </c>
      <c r="K138" s="1475">
        <v>42195</v>
      </c>
      <c r="L138" s="1476" t="s">
        <v>2127</v>
      </c>
      <c r="M138" s="1477">
        <v>5.0788E-2</v>
      </c>
      <c r="N138" s="1478">
        <v>1.0452918681458438</v>
      </c>
      <c r="O138" s="1478">
        <v>1.0452918681458438</v>
      </c>
    </row>
    <row r="139" spans="2:15">
      <c r="B139" s="1390">
        <v>36647</v>
      </c>
      <c r="C139" s="1391">
        <v>182.18899999999999</v>
      </c>
      <c r="D139" s="1391">
        <v>1610.91</v>
      </c>
      <c r="E139" s="1391">
        <v>1.0156265899953318</v>
      </c>
      <c r="F139" s="1391">
        <v>5.5265056022338124</v>
      </c>
      <c r="K139" s="1475">
        <v>42196</v>
      </c>
      <c r="L139" s="1476"/>
      <c r="M139" s="1477">
        <v>0</v>
      </c>
      <c r="N139" s="1478">
        <v>1.0452918681458438</v>
      </c>
      <c r="O139" s="1478">
        <v>1.0452918681458438</v>
      </c>
    </row>
    <row r="140" spans="2:15">
      <c r="B140" s="1390">
        <v>36678</v>
      </c>
      <c r="C140" s="1391">
        <v>183.745</v>
      </c>
      <c r="D140" s="1391">
        <v>1614.62</v>
      </c>
      <c r="E140" s="1391">
        <v>1.0145668910909638</v>
      </c>
      <c r="F140" s="1391">
        <v>5.6070096074551534</v>
      </c>
      <c r="K140" s="1475">
        <v>42197</v>
      </c>
      <c r="L140" s="1476"/>
      <c r="M140" s="1477">
        <v>0</v>
      </c>
      <c r="N140" s="1478">
        <v>1.0452918681458438</v>
      </c>
      <c r="O140" s="1478">
        <v>1.0452918681458438</v>
      </c>
    </row>
    <row r="141" spans="2:15">
      <c r="B141" s="1390">
        <v>36708</v>
      </c>
      <c r="C141" s="1391">
        <v>186.63399999999999</v>
      </c>
      <c r="D141" s="1391">
        <v>1640.62</v>
      </c>
      <c r="E141" s="1391">
        <v>1.0130599958288005</v>
      </c>
      <c r="F141" s="1391">
        <v>5.6802371295405623</v>
      </c>
      <c r="K141" s="1475">
        <v>42198</v>
      </c>
      <c r="L141" s="1476" t="s">
        <v>2127</v>
      </c>
      <c r="M141" s="1477">
        <v>5.0788E-2</v>
      </c>
      <c r="N141" s="1478">
        <v>1.0458227509798377</v>
      </c>
      <c r="O141" s="1478">
        <v>1.0458227509798377</v>
      </c>
    </row>
    <row r="142" spans="2:15">
      <c r="B142" s="1390">
        <v>36739</v>
      </c>
      <c r="C142" s="1391">
        <v>191.08699999999999</v>
      </c>
      <c r="D142" s="1391">
        <v>1662.11</v>
      </c>
      <c r="E142" s="1391">
        <v>1.0140543715890855</v>
      </c>
      <c r="F142" s="1391">
        <v>5.7600692928732462</v>
      </c>
      <c r="K142" s="1475">
        <v>42199</v>
      </c>
      <c r="L142" s="1476" t="s">
        <v>2127</v>
      </c>
      <c r="M142" s="1477">
        <v>5.0788E-2</v>
      </c>
      <c r="N142" s="1478">
        <v>1.0463539034386053</v>
      </c>
      <c r="O142" s="1478">
        <v>1.0463539034386053</v>
      </c>
    </row>
    <row r="143" spans="2:15">
      <c r="B143" s="1390">
        <v>36770</v>
      </c>
      <c r="C143" s="1391">
        <v>193.297</v>
      </c>
      <c r="D143" s="1391">
        <v>1665.93</v>
      </c>
      <c r="E143" s="1391">
        <v>1.0128508890656427</v>
      </c>
      <c r="F143" s="1391">
        <v>5.8340913043663756</v>
      </c>
      <c r="K143" s="1475">
        <v>42200</v>
      </c>
      <c r="L143" s="1476" t="s">
        <v>2127</v>
      </c>
      <c r="M143" s="1477">
        <v>5.0788E-2</v>
      </c>
      <c r="N143" s="1478">
        <v>1.0468853256590838</v>
      </c>
      <c r="O143" s="1478">
        <v>1.0468853256590838</v>
      </c>
    </row>
    <row r="144" spans="2:15">
      <c r="B144" s="1390">
        <v>36800</v>
      </c>
      <c r="C144" s="1391">
        <v>194.04</v>
      </c>
      <c r="D144" s="1391">
        <v>1668.26</v>
      </c>
      <c r="E144" s="1391">
        <v>1.013495295624836</v>
      </c>
      <c r="F144" s="1391">
        <v>5.9128240912210845</v>
      </c>
      <c r="K144" s="1475">
        <v>42201</v>
      </c>
      <c r="L144" s="1476" t="s">
        <v>2127</v>
      </c>
      <c r="M144" s="1477">
        <v>5.0788E-2</v>
      </c>
      <c r="N144" s="1478">
        <v>1.0474170177782796</v>
      </c>
      <c r="O144" s="1478">
        <v>1.0474170177782796</v>
      </c>
    </row>
    <row r="145" spans="2:15">
      <c r="B145" s="1390">
        <v>36831</v>
      </c>
      <c r="C145" s="1391">
        <v>194.59899999999999</v>
      </c>
      <c r="D145" s="1391">
        <v>1673.6</v>
      </c>
      <c r="E145" s="1391">
        <v>1.013431060777086</v>
      </c>
      <c r="F145" s="1391">
        <v>5.992239590954493</v>
      </c>
      <c r="K145" s="1475">
        <v>42202</v>
      </c>
      <c r="L145" s="1476" t="s">
        <v>2127</v>
      </c>
      <c r="M145" s="1477">
        <v>5.0788E-2</v>
      </c>
      <c r="N145" s="1478">
        <v>1.0479489799332689</v>
      </c>
      <c r="O145" s="1478">
        <v>1.0479489799332689</v>
      </c>
    </row>
    <row r="146" spans="2:15">
      <c r="B146" s="1390">
        <v>36861</v>
      </c>
      <c r="C146" s="1391">
        <v>195.827</v>
      </c>
      <c r="D146" s="1391">
        <v>1683.47</v>
      </c>
      <c r="E146" s="1391">
        <v>1.0125716392096709</v>
      </c>
      <c r="F146" s="1391">
        <v>6.0675718651498789</v>
      </c>
      <c r="K146" s="1475">
        <v>42203</v>
      </c>
      <c r="L146" s="1476"/>
      <c r="M146" s="1477">
        <v>0</v>
      </c>
      <c r="N146" s="1478">
        <v>1.0479489799332689</v>
      </c>
      <c r="O146" s="1478">
        <v>1.0479489799332689</v>
      </c>
    </row>
    <row r="147" spans="2:15">
      <c r="B147" s="1390">
        <v>36892</v>
      </c>
      <c r="C147" s="1391">
        <v>197.04499999999999</v>
      </c>
      <c r="D147" s="1391">
        <v>1693.07</v>
      </c>
      <c r="E147" s="1391">
        <v>1.0126506879847863</v>
      </c>
      <c r="F147" s="1391">
        <v>6.144330823641158</v>
      </c>
      <c r="K147" s="1475">
        <v>42204</v>
      </c>
      <c r="L147" s="1476"/>
      <c r="M147" s="1477">
        <v>0</v>
      </c>
      <c r="N147" s="1478">
        <v>1.0479489799332689</v>
      </c>
      <c r="O147" s="1478">
        <v>1.0479489799332689</v>
      </c>
    </row>
    <row r="148" spans="2:15">
      <c r="B148" s="1390">
        <v>36923</v>
      </c>
      <c r="C148" s="1391">
        <v>197.49100000000001</v>
      </c>
      <c r="D148" s="1391">
        <v>1700.86</v>
      </c>
      <c r="E148" s="1391">
        <v>1.0101583510827936</v>
      </c>
      <c r="F148" s="1391">
        <v>6.206747093316535</v>
      </c>
      <c r="K148" s="1475">
        <v>42205</v>
      </c>
      <c r="L148" s="1476" t="s">
        <v>2127</v>
      </c>
      <c r="M148" s="1477">
        <v>5.0788E-2</v>
      </c>
      <c r="N148" s="1478">
        <v>1.0484812122611973</v>
      </c>
      <c r="O148" s="1478">
        <v>1.0484812122611973</v>
      </c>
    </row>
    <row r="149" spans="2:15">
      <c r="B149" s="1390">
        <v>36951</v>
      </c>
      <c r="C149" s="1391">
        <v>198.60599999999999</v>
      </c>
      <c r="D149" s="1391">
        <v>1707.32</v>
      </c>
      <c r="E149" s="1391">
        <v>1.0125785495836725</v>
      </c>
      <c r="F149" s="1391">
        <v>6.2848189693831324</v>
      </c>
      <c r="K149" s="1475">
        <v>42206</v>
      </c>
      <c r="L149" s="1476" t="s">
        <v>2127</v>
      </c>
      <c r="M149" s="1477">
        <v>5.0788E-2</v>
      </c>
      <c r="N149" s="1478">
        <v>1.0490137148992804</v>
      </c>
      <c r="O149" s="1478">
        <v>1.0490137148992804</v>
      </c>
    </row>
    <row r="150" spans="2:15">
      <c r="B150" s="1390">
        <v>36982</v>
      </c>
      <c r="C150" s="1391">
        <v>200.59100000000001</v>
      </c>
      <c r="D150" s="1391">
        <v>1717.22</v>
      </c>
      <c r="E150" s="1391">
        <v>1.0118637336714187</v>
      </c>
      <c r="F150" s="1391">
        <v>6.3593803878089741</v>
      </c>
      <c r="K150" s="1475">
        <v>42207</v>
      </c>
      <c r="L150" s="1476" t="s">
        <v>2127</v>
      </c>
      <c r="M150" s="1477">
        <v>5.0788E-2</v>
      </c>
      <c r="N150" s="1478">
        <v>1.0495464879848035</v>
      </c>
      <c r="O150" s="1478">
        <v>1.0495464879848035</v>
      </c>
    </row>
    <row r="151" spans="2:15">
      <c r="B151" s="1390">
        <v>37012</v>
      </c>
      <c r="C151" s="1391">
        <v>202.32400000000001</v>
      </c>
      <c r="D151" s="1391">
        <v>1724.26</v>
      </c>
      <c r="E151" s="1391">
        <v>1.0133677002760824</v>
      </c>
      <c r="F151" s="1391">
        <v>6.4443906787748011</v>
      </c>
      <c r="K151" s="1475">
        <v>42208</v>
      </c>
      <c r="L151" s="1476" t="s">
        <v>2127</v>
      </c>
      <c r="M151" s="1477">
        <v>5.0788E-2</v>
      </c>
      <c r="N151" s="1478">
        <v>1.0500795316551212</v>
      </c>
      <c r="O151" s="1478">
        <v>1.0500795316551212</v>
      </c>
    </row>
    <row r="152" spans="2:15">
      <c r="B152" s="1390">
        <v>37043</v>
      </c>
      <c r="C152" s="1391">
        <v>204.31</v>
      </c>
      <c r="D152" s="1391">
        <v>1733.23</v>
      </c>
      <c r="E152" s="1391">
        <v>1.0127331554566117</v>
      </c>
      <c r="F152" s="1391">
        <v>6.5264481071107801</v>
      </c>
      <c r="K152" s="1475">
        <v>42209</v>
      </c>
      <c r="L152" s="1476" t="s">
        <v>2127</v>
      </c>
      <c r="M152" s="1477">
        <v>5.0788E-2</v>
      </c>
      <c r="N152" s="1478">
        <v>1.0506128460476583</v>
      </c>
      <c r="O152" s="1478">
        <v>1.0506128460476583</v>
      </c>
    </row>
    <row r="153" spans="2:15">
      <c r="B153" s="1390">
        <v>37073</v>
      </c>
      <c r="C153" s="1391">
        <v>207.34100000000001</v>
      </c>
      <c r="D153" s="1391">
        <v>1756.28</v>
      </c>
      <c r="E153" s="1391">
        <v>1.014979822756394</v>
      </c>
      <c r="F153" s="1391">
        <v>6.6242131429841029</v>
      </c>
      <c r="K153" s="1475">
        <v>42210</v>
      </c>
      <c r="L153" s="1476"/>
      <c r="M153" s="1477">
        <v>0</v>
      </c>
      <c r="N153" s="1478">
        <v>1.0506128460476583</v>
      </c>
      <c r="O153" s="1478">
        <v>1.0506128460476583</v>
      </c>
    </row>
    <row r="154" spans="2:15">
      <c r="B154" s="1390">
        <v>37104</v>
      </c>
      <c r="C154" s="1391">
        <v>210.21100000000001</v>
      </c>
      <c r="D154" s="1391">
        <v>1768.57</v>
      </c>
      <c r="E154" s="1391">
        <v>1.0160000122718875</v>
      </c>
      <c r="F154" s="1391">
        <v>6.7302006345634471</v>
      </c>
      <c r="K154" s="1475">
        <v>42211</v>
      </c>
      <c r="L154" s="1476"/>
      <c r="M154" s="1477">
        <v>0</v>
      </c>
      <c r="N154" s="1478">
        <v>1.0506128460476583</v>
      </c>
      <c r="O154" s="1478">
        <v>1.0506128460476583</v>
      </c>
    </row>
    <row r="155" spans="2:15">
      <c r="B155" s="1390">
        <v>37135</v>
      </c>
      <c r="C155" s="1391">
        <v>210.85300000000001</v>
      </c>
      <c r="D155" s="1391">
        <v>1773.52</v>
      </c>
      <c r="E155" s="1391">
        <v>1.013243107438228</v>
      </c>
      <c r="F155" s="1391">
        <v>6.8193294046478012</v>
      </c>
      <c r="K155" s="1475">
        <v>42212</v>
      </c>
      <c r="L155" s="1476" t="s">
        <v>2127</v>
      </c>
      <c r="M155" s="1477">
        <v>5.0788E-2</v>
      </c>
      <c r="N155" s="1478">
        <v>1.051146431299909</v>
      </c>
      <c r="O155" s="1478">
        <v>1.051146431299909</v>
      </c>
    </row>
    <row r="156" spans="2:15">
      <c r="B156" s="1390">
        <v>37165</v>
      </c>
      <c r="C156" s="1391">
        <v>213.339</v>
      </c>
      <c r="D156" s="1391">
        <v>1788.24</v>
      </c>
      <c r="E156" s="1391">
        <v>1.0153493751182632</v>
      </c>
      <c r="F156" s="1391">
        <v>6.9240018497347426</v>
      </c>
      <c r="K156" s="1475">
        <v>42213</v>
      </c>
      <c r="L156" s="1476" t="s">
        <v>2127</v>
      </c>
      <c r="M156" s="1477">
        <v>5.0788E-2</v>
      </c>
      <c r="N156" s="1478">
        <v>1.0516802875494375</v>
      </c>
      <c r="O156" s="1478">
        <v>1.0516802875494375</v>
      </c>
    </row>
    <row r="157" spans="2:15">
      <c r="B157" s="1390">
        <v>37196</v>
      </c>
      <c r="C157" s="1391">
        <v>215.685</v>
      </c>
      <c r="D157" s="1391">
        <v>1800.94</v>
      </c>
      <c r="E157" s="1391">
        <v>1.0139343824698488</v>
      </c>
      <c r="F157" s="1391">
        <v>7.0204835397308871</v>
      </c>
      <c r="K157" s="1475">
        <v>42214</v>
      </c>
      <c r="L157" s="1476" t="s">
        <v>2127</v>
      </c>
      <c r="M157" s="1477">
        <v>5.0788E-2</v>
      </c>
      <c r="N157" s="1478">
        <v>1.0522144149338781</v>
      </c>
      <c r="O157" s="1478">
        <v>1.0522144149338781</v>
      </c>
    </row>
    <row r="158" spans="2:15">
      <c r="B158" s="1390">
        <v>37226</v>
      </c>
      <c r="C158" s="1391">
        <v>216.16300000000001</v>
      </c>
      <c r="D158" s="1391">
        <v>1812.65</v>
      </c>
      <c r="E158" s="1391">
        <v>1.0139354159682339</v>
      </c>
      <c r="F158" s="1391">
        <v>7.1183168981551761</v>
      </c>
      <c r="K158" s="1475">
        <v>42215</v>
      </c>
      <c r="L158" s="1476" t="s">
        <v>2127</v>
      </c>
      <c r="M158" s="1477">
        <v>5.2531000000000001E-2</v>
      </c>
      <c r="N158" s="1478">
        <v>1.0527671536881871</v>
      </c>
      <c r="O158" s="1478">
        <v>1.0527671536881871</v>
      </c>
    </row>
    <row r="159" spans="2:15">
      <c r="B159" s="1390">
        <v>37257</v>
      </c>
      <c r="C159" s="1391">
        <v>216.94399999999999</v>
      </c>
      <c r="D159" s="1391">
        <v>1822.08</v>
      </c>
      <c r="E159" s="1391">
        <v>1.0153395939759675</v>
      </c>
      <c r="F159" s="1391">
        <v>7.2275089891651447</v>
      </c>
      <c r="K159" s="1475">
        <v>42216</v>
      </c>
      <c r="L159" s="1476" t="s">
        <v>2127</v>
      </c>
      <c r="M159" s="1477">
        <v>5.2531000000000001E-2</v>
      </c>
      <c r="N159" s="1478">
        <v>1.0533201828016909</v>
      </c>
      <c r="O159" s="1478">
        <v>1.0533201828016909</v>
      </c>
    </row>
    <row r="160" spans="2:15">
      <c r="B160" s="1390">
        <v>37288</v>
      </c>
      <c r="C160" s="1391">
        <v>217.07400000000001</v>
      </c>
      <c r="D160" s="1391">
        <v>1828.64</v>
      </c>
      <c r="E160" s="1391">
        <v>1.012482154231837</v>
      </c>
      <c r="F160" s="1391">
        <v>7.3177238710798918</v>
      </c>
      <c r="K160" s="1475">
        <v>42217</v>
      </c>
      <c r="L160" s="1476"/>
      <c r="M160" s="1477">
        <v>0</v>
      </c>
      <c r="N160" s="1478">
        <v>1.0533201828016909</v>
      </c>
      <c r="O160" s="1478">
        <v>1.0533201828016909</v>
      </c>
    </row>
    <row r="161" spans="2:15">
      <c r="B161" s="1390">
        <v>37316</v>
      </c>
      <c r="C161" s="1391">
        <v>217.27600000000001</v>
      </c>
      <c r="D161" s="1391">
        <v>1839.61</v>
      </c>
      <c r="E161" s="1391">
        <v>1.013713327882185</v>
      </c>
      <c r="F161" s="1391">
        <v>7.4180742178753025</v>
      </c>
      <c r="K161" s="1475">
        <v>42218</v>
      </c>
      <c r="L161" s="1476"/>
      <c r="M161" s="1477">
        <v>0</v>
      </c>
      <c r="N161" s="1478">
        <v>1.0533201828016909</v>
      </c>
      <c r="O161" s="1478">
        <v>1.0533201828016909</v>
      </c>
    </row>
    <row r="162" spans="2:15">
      <c r="B162" s="1390">
        <v>37347</v>
      </c>
      <c r="C162" s="1391">
        <v>218.48599999999999</v>
      </c>
      <c r="D162" s="1391">
        <v>1854.33</v>
      </c>
      <c r="E162" s="1391">
        <v>1.0148356719718208</v>
      </c>
      <c r="F162" s="1391">
        <v>7.5281263336343214</v>
      </c>
      <c r="K162" s="1475">
        <v>42219</v>
      </c>
      <c r="L162" s="1476" t="s">
        <v>2127</v>
      </c>
      <c r="M162" s="1477">
        <v>5.2531000000000001E-2</v>
      </c>
      <c r="N162" s="1478">
        <v>1.0538735024269186</v>
      </c>
      <c r="O162" s="1478">
        <v>1.0538735024269186</v>
      </c>
    </row>
    <row r="163" spans="2:15">
      <c r="B163" s="1390">
        <v>37377</v>
      </c>
      <c r="C163" s="1391">
        <v>220.292</v>
      </c>
      <c r="D163" s="1391">
        <v>1858.22</v>
      </c>
      <c r="E163" s="1391">
        <v>1.0141498936566418</v>
      </c>
      <c r="F163" s="1391">
        <v>7.6346485206890113</v>
      </c>
      <c r="K163" s="1475">
        <v>42220</v>
      </c>
      <c r="L163" s="1476" t="s">
        <v>2127</v>
      </c>
      <c r="M163" s="1477">
        <v>5.2531000000000001E-2</v>
      </c>
      <c r="N163" s="1478">
        <v>1.0544271127164784</v>
      </c>
      <c r="O163" s="1478">
        <v>1.0544271127164784</v>
      </c>
    </row>
    <row r="164" spans="2:15">
      <c r="B164" s="1390">
        <v>37408</v>
      </c>
      <c r="C164" s="1391">
        <v>223.68799999999999</v>
      </c>
      <c r="D164" s="1391">
        <v>1866.02</v>
      </c>
      <c r="E164" s="1391">
        <v>1.0132903281280037</v>
      </c>
      <c r="F164" s="1391">
        <v>7.7361155046709458</v>
      </c>
      <c r="K164" s="1475">
        <v>42221</v>
      </c>
      <c r="L164" s="1476" t="s">
        <v>2127</v>
      </c>
      <c r="M164" s="1477">
        <v>5.2531000000000001E-2</v>
      </c>
      <c r="N164" s="1478">
        <v>1.0549810138230595</v>
      </c>
      <c r="O164" s="1478">
        <v>1.0549810138230595</v>
      </c>
    </row>
    <row r="165" spans="2:15">
      <c r="B165" s="1390">
        <v>37438</v>
      </c>
      <c r="C165" s="1391">
        <v>228.05699999999999</v>
      </c>
      <c r="D165" s="1391">
        <v>1888.23</v>
      </c>
      <c r="E165" s="1391">
        <v>1.0153543455443825</v>
      </c>
      <c r="F165" s="1391">
        <v>7.8548984953009189</v>
      </c>
      <c r="K165" s="1475">
        <v>42222</v>
      </c>
      <c r="L165" s="1476" t="s">
        <v>2127</v>
      </c>
      <c r="M165" s="1477">
        <v>5.2531000000000001E-2</v>
      </c>
      <c r="N165" s="1478">
        <v>1.055535205899431</v>
      </c>
      <c r="O165" s="1478">
        <v>1.055535205899431</v>
      </c>
    </row>
    <row r="166" spans="2:15">
      <c r="B166" s="1390">
        <v>37469</v>
      </c>
      <c r="C166" s="1391">
        <v>233.34800000000001</v>
      </c>
      <c r="D166" s="1391">
        <v>1900.5</v>
      </c>
      <c r="E166" s="1391">
        <v>1.0144340404848073</v>
      </c>
      <c r="F166" s="1391">
        <v>7.9682764181861447</v>
      </c>
      <c r="K166" s="1475">
        <v>42223</v>
      </c>
      <c r="L166" s="1476" t="s">
        <v>2127</v>
      </c>
      <c r="M166" s="1477">
        <v>5.2531000000000001E-2</v>
      </c>
      <c r="N166" s="1478">
        <v>1.0560896890984419</v>
      </c>
      <c r="O166" s="1478">
        <v>1.0560896890984419</v>
      </c>
    </row>
    <row r="167" spans="2:15">
      <c r="B167" s="1390">
        <v>37500</v>
      </c>
      <c r="C167" s="1391">
        <v>238.94300000000001</v>
      </c>
      <c r="D167" s="1391">
        <v>1914.18</v>
      </c>
      <c r="E167" s="1391">
        <v>1.0138126637754254</v>
      </c>
      <c r="F167" s="1391">
        <v>8.0783395412202008</v>
      </c>
      <c r="K167" s="1475">
        <v>42224</v>
      </c>
      <c r="L167" s="1476"/>
      <c r="M167" s="1477">
        <v>0</v>
      </c>
      <c r="N167" s="1478">
        <v>1.0560896890984419</v>
      </c>
      <c r="O167" s="1478">
        <v>1.0560896890984419</v>
      </c>
    </row>
    <row r="168" spans="2:15">
      <c r="B168" s="1390">
        <v>37530</v>
      </c>
      <c r="C168" s="1391">
        <v>248.19900000000001</v>
      </c>
      <c r="D168" s="1391">
        <v>1939.26</v>
      </c>
      <c r="E168" s="1391">
        <v>1.0164592520111337</v>
      </c>
      <c r="F168" s="1391">
        <v>8.2113029675606501</v>
      </c>
      <c r="K168" s="1475">
        <v>42225</v>
      </c>
      <c r="L168" s="1476"/>
      <c r="M168" s="1477">
        <v>0</v>
      </c>
      <c r="N168" s="1478">
        <v>1.0560896890984419</v>
      </c>
      <c r="O168" s="1478">
        <v>1.0560896890984419</v>
      </c>
    </row>
    <row r="169" spans="2:15">
      <c r="B169" s="1390">
        <v>37561</v>
      </c>
      <c r="C169" s="1391">
        <v>261.08</v>
      </c>
      <c r="D169" s="1391">
        <v>1997.83</v>
      </c>
      <c r="E169" s="1391">
        <v>1.0154093077816833</v>
      </c>
      <c r="F169" s="1391">
        <v>8.337833462276441</v>
      </c>
      <c r="K169" s="1475">
        <v>42226</v>
      </c>
      <c r="L169" s="1476" t="s">
        <v>2127</v>
      </c>
      <c r="M169" s="1477">
        <v>5.2531000000000001E-2</v>
      </c>
      <c r="N169" s="1478">
        <v>1.0566444635730223</v>
      </c>
      <c r="O169" s="1478">
        <v>1.0566444635730223</v>
      </c>
    </row>
    <row r="170" spans="2:15">
      <c r="B170" s="1390">
        <v>37591</v>
      </c>
      <c r="C170" s="1391">
        <v>270.86700000000002</v>
      </c>
      <c r="D170" s="1391">
        <v>2039.78</v>
      </c>
      <c r="E170" s="1391">
        <v>1.0174244857414556</v>
      </c>
      <c r="F170" s="1391">
        <v>8.483115922554509</v>
      </c>
      <c r="K170" s="1475">
        <v>42227</v>
      </c>
      <c r="L170" s="1476" t="s">
        <v>2127</v>
      </c>
      <c r="M170" s="1477">
        <v>5.2531000000000001E-2</v>
      </c>
      <c r="N170" s="1478">
        <v>1.0571995294761818</v>
      </c>
      <c r="O170" s="1478">
        <v>1.0571995294761818</v>
      </c>
    </row>
    <row r="171" spans="2:15">
      <c r="B171" s="1390">
        <v>37622</v>
      </c>
      <c r="C171" s="1391">
        <v>277.173</v>
      </c>
      <c r="D171" s="1391">
        <v>2085.6799999999998</v>
      </c>
      <c r="E171" s="1391">
        <v>1.0197126646415859</v>
      </c>
      <c r="F171" s="1391">
        <v>8.6503407418515241</v>
      </c>
      <c r="K171" s="1475">
        <v>42228</v>
      </c>
      <c r="L171" s="1476" t="s">
        <v>2127</v>
      </c>
      <c r="M171" s="1477">
        <v>5.2531000000000001E-2</v>
      </c>
      <c r="N171" s="1478">
        <v>1.0577548869610109</v>
      </c>
      <c r="O171" s="1478">
        <v>1.0577548869610109</v>
      </c>
    </row>
    <row r="172" spans="2:15">
      <c r="B172" s="1390">
        <v>37653</v>
      </c>
      <c r="C172" s="1391">
        <v>283.50599999999997</v>
      </c>
      <c r="D172" s="1391">
        <v>2118.4299999999998</v>
      </c>
      <c r="E172" s="1391">
        <v>1.0183037986307939</v>
      </c>
      <c r="F172" s="1391">
        <v>8.8086748368781276</v>
      </c>
      <c r="K172" s="1475">
        <v>42229</v>
      </c>
      <c r="L172" s="1476" t="s">
        <v>2127</v>
      </c>
      <c r="M172" s="1477">
        <v>5.2531000000000001E-2</v>
      </c>
      <c r="N172" s="1478">
        <v>1.0583105361806804</v>
      </c>
      <c r="O172" s="1478">
        <v>1.0583105361806804</v>
      </c>
    </row>
    <row r="173" spans="2:15">
      <c r="B173" s="1390">
        <v>37681</v>
      </c>
      <c r="C173" s="1391">
        <v>287.85500000000002</v>
      </c>
      <c r="D173" s="1391">
        <v>2144.4899999999998</v>
      </c>
      <c r="E173" s="1391">
        <v>1.0177701866474056</v>
      </c>
      <c r="F173" s="1391">
        <v>8.9652066328457565</v>
      </c>
      <c r="K173" s="1475">
        <v>42230</v>
      </c>
      <c r="L173" s="1476" t="s">
        <v>2127</v>
      </c>
      <c r="M173" s="1477">
        <v>5.2531000000000001E-2</v>
      </c>
      <c r="N173" s="1478">
        <v>1.0588664772884415</v>
      </c>
      <c r="O173" s="1478">
        <v>1.0588664772884415</v>
      </c>
    </row>
    <row r="174" spans="2:15">
      <c r="B174" s="1390">
        <v>37712</v>
      </c>
      <c r="C174" s="1391">
        <v>290.512</v>
      </c>
      <c r="D174" s="1391">
        <v>2165.29</v>
      </c>
      <c r="E174" s="1391">
        <v>1.0187159495984839</v>
      </c>
      <c r="F174" s="1391">
        <v>9.1329989883260918</v>
      </c>
      <c r="K174" s="1475">
        <v>42231</v>
      </c>
      <c r="L174" s="1476"/>
      <c r="M174" s="1477">
        <v>0</v>
      </c>
      <c r="N174" s="1478">
        <v>1.0588664772884415</v>
      </c>
      <c r="O174" s="1478">
        <v>1.0588664772884415</v>
      </c>
    </row>
    <row r="175" spans="2:15">
      <c r="B175" s="1390">
        <v>37742</v>
      </c>
      <c r="C175" s="1391">
        <v>289.74700000000001</v>
      </c>
      <c r="D175" s="1391">
        <v>2178.5</v>
      </c>
      <c r="E175" s="1391">
        <v>1.0196535248447016</v>
      </c>
      <c r="F175" s="1391">
        <v>9.312494610849793</v>
      </c>
      <c r="K175" s="1475">
        <v>42232</v>
      </c>
      <c r="L175" s="1476"/>
      <c r="M175" s="1477">
        <v>0</v>
      </c>
      <c r="N175" s="1478">
        <v>1.0588664772884415</v>
      </c>
      <c r="O175" s="1478">
        <v>1.0588664772884415</v>
      </c>
    </row>
    <row r="176" spans="2:15">
      <c r="B176" s="1390">
        <v>37773</v>
      </c>
      <c r="C176" s="1391">
        <v>286.84300000000002</v>
      </c>
      <c r="D176" s="1391">
        <v>2175.23</v>
      </c>
      <c r="E176" s="1391">
        <v>1.0185667947451373</v>
      </c>
      <c r="F176" s="1391">
        <v>9.4853977868546391</v>
      </c>
      <c r="K176" s="1475">
        <v>42233</v>
      </c>
      <c r="L176" s="1476" t="s">
        <v>2127</v>
      </c>
      <c r="M176" s="1477">
        <v>5.2531000000000001E-2</v>
      </c>
      <c r="N176" s="1478">
        <v>1.0594227104376259</v>
      </c>
      <c r="O176" s="1478">
        <v>1.0594227104376259</v>
      </c>
    </row>
    <row r="177" spans="2:15">
      <c r="B177" s="1390">
        <v>37803</v>
      </c>
      <c r="C177" s="1391">
        <v>285.649</v>
      </c>
      <c r="D177" s="1391">
        <v>2179.58</v>
      </c>
      <c r="E177" s="1391">
        <v>1.0208424747911398</v>
      </c>
      <c r="F177" s="1391">
        <v>9.6830969511110894</v>
      </c>
      <c r="K177" s="1475">
        <v>42234</v>
      </c>
      <c r="L177" s="1476" t="s">
        <v>2127</v>
      </c>
      <c r="M177" s="1477">
        <v>5.2531000000000001E-2</v>
      </c>
      <c r="N177" s="1478">
        <v>1.059979235781646</v>
      </c>
      <c r="O177" s="1478">
        <v>1.059979235781646</v>
      </c>
    </row>
    <row r="178" spans="2:15">
      <c r="B178" s="1390">
        <v>37834</v>
      </c>
      <c r="C178" s="1391">
        <v>286.73500000000001</v>
      </c>
      <c r="D178" s="1391">
        <v>2186.9899999999998</v>
      </c>
      <c r="E178" s="1391">
        <v>1.0177426111342931</v>
      </c>
      <c r="F178" s="1391">
        <v>9.8549003748903132</v>
      </c>
      <c r="K178" s="1475">
        <v>42235</v>
      </c>
      <c r="L178" s="1476" t="s">
        <v>2127</v>
      </c>
      <c r="M178" s="1477">
        <v>5.2531000000000001E-2</v>
      </c>
      <c r="N178" s="1478">
        <v>1.0605360534739945</v>
      </c>
      <c r="O178" s="1478">
        <v>1.0605360534739945</v>
      </c>
    </row>
    <row r="179" spans="2:15">
      <c r="B179" s="1390">
        <v>37865</v>
      </c>
      <c r="C179" s="1391">
        <v>290.12700000000001</v>
      </c>
      <c r="D179" s="1391">
        <v>2204.0500000000002</v>
      </c>
      <c r="E179" s="1391">
        <v>1.0167950902831471</v>
      </c>
      <c r="F179" s="1391">
        <v>10.020414316418016</v>
      </c>
      <c r="K179" s="1475">
        <v>42236</v>
      </c>
      <c r="L179" s="1476" t="s">
        <v>2127</v>
      </c>
      <c r="M179" s="1477">
        <v>5.2531000000000001E-2</v>
      </c>
      <c r="N179" s="1478">
        <v>1.061093163668245</v>
      </c>
      <c r="O179" s="1478">
        <v>1.061093163668245</v>
      </c>
    </row>
    <row r="180" spans="2:15">
      <c r="B180" s="1390">
        <v>37895</v>
      </c>
      <c r="C180" s="1391">
        <v>291.22899999999998</v>
      </c>
      <c r="D180" s="1391">
        <v>2210.44</v>
      </c>
      <c r="E180" s="1391">
        <v>1.0164205992977207</v>
      </c>
      <c r="F180" s="1391">
        <v>10.18495552470506</v>
      </c>
      <c r="K180" s="1475">
        <v>42237</v>
      </c>
      <c r="L180" s="1476" t="s">
        <v>2127</v>
      </c>
      <c r="M180" s="1477">
        <v>5.2531000000000001E-2</v>
      </c>
      <c r="N180" s="1478">
        <v>1.0616505665180516</v>
      </c>
      <c r="O180" s="1478">
        <v>1.0616505665180516</v>
      </c>
    </row>
    <row r="181" spans="2:15">
      <c r="B181" s="1390">
        <v>37926</v>
      </c>
      <c r="C181" s="1391">
        <v>292.65699999999998</v>
      </c>
      <c r="D181" s="1391">
        <v>2217.96</v>
      </c>
      <c r="E181" s="1391">
        <v>1.0134353138584866</v>
      </c>
      <c r="F181" s="1391">
        <v>10.3217935988142</v>
      </c>
      <c r="K181" s="1475">
        <v>42238</v>
      </c>
      <c r="L181" s="1476"/>
      <c r="M181" s="1477">
        <v>0</v>
      </c>
      <c r="N181" s="1478">
        <v>1.0616505665180516</v>
      </c>
      <c r="O181" s="1478">
        <v>1.0616505665180516</v>
      </c>
    </row>
    <row r="182" spans="2:15">
      <c r="B182" s="1390">
        <v>37956</v>
      </c>
      <c r="C182" s="1391">
        <v>294.45499999999998</v>
      </c>
      <c r="D182" s="1391">
        <v>2229.4899999999998</v>
      </c>
      <c r="E182" s="1391">
        <v>1.0137325047762002</v>
      </c>
      <c r="F182" s="1391">
        <v>10.463537678708869</v>
      </c>
      <c r="K182" s="1475">
        <v>42239</v>
      </c>
      <c r="L182" s="1476"/>
      <c r="M182" s="1477">
        <v>0</v>
      </c>
      <c r="N182" s="1478">
        <v>1.0616505665180516</v>
      </c>
      <c r="O182" s="1478">
        <v>1.0616505665180516</v>
      </c>
    </row>
    <row r="183" spans="2:15">
      <c r="B183" s="1390">
        <v>37987</v>
      </c>
      <c r="C183" s="1391">
        <v>297.03899999999999</v>
      </c>
      <c r="D183" s="1391">
        <v>2246.4299999999998</v>
      </c>
      <c r="E183" s="1391">
        <v>1.0126755135884871</v>
      </c>
      <c r="F183" s="1391">
        <v>10.59616839273899</v>
      </c>
      <c r="K183" s="1475">
        <v>42240</v>
      </c>
      <c r="L183" s="1476" t="s">
        <v>2127</v>
      </c>
      <c r="M183" s="1477">
        <v>5.2531000000000001E-2</v>
      </c>
      <c r="N183" s="1478">
        <v>1.0622082621771491</v>
      </c>
      <c r="O183" s="1478">
        <v>1.0622082621771491</v>
      </c>
    </row>
    <row r="184" spans="2:15">
      <c r="B184" s="1390">
        <v>38018</v>
      </c>
      <c r="C184" s="1391">
        <v>299.09699999999998</v>
      </c>
      <c r="D184" s="1391">
        <v>2260.13</v>
      </c>
      <c r="E184" s="1391">
        <v>1.0108439419169848</v>
      </c>
      <c r="F184" s="1391">
        <v>10.711072627332442</v>
      </c>
      <c r="K184" s="1475">
        <v>42241</v>
      </c>
      <c r="L184" s="1476" t="s">
        <v>2127</v>
      </c>
      <c r="M184" s="1477">
        <v>5.2531000000000001E-2</v>
      </c>
      <c r="N184" s="1478">
        <v>1.0627662507993534</v>
      </c>
      <c r="O184" s="1478">
        <v>1.0627662507993534</v>
      </c>
    </row>
    <row r="185" spans="2:15">
      <c r="B185" s="1390">
        <v>38047</v>
      </c>
      <c r="C185" s="1391">
        <v>302.48399999999998</v>
      </c>
      <c r="D185" s="1391">
        <v>2270.75</v>
      </c>
      <c r="E185" s="1391">
        <v>1.0137912342986635</v>
      </c>
      <c r="F185" s="1391">
        <v>10.858791539525985</v>
      </c>
      <c r="K185" s="1475">
        <v>42242</v>
      </c>
      <c r="L185" s="1476" t="s">
        <v>2127</v>
      </c>
      <c r="M185" s="1477">
        <v>5.2531000000000001E-2</v>
      </c>
      <c r="N185" s="1478">
        <v>1.0633245325385607</v>
      </c>
      <c r="O185" s="1478">
        <v>1.0633245325385607</v>
      </c>
    </row>
    <row r="186" spans="2:15">
      <c r="B186" s="1390">
        <v>38078</v>
      </c>
      <c r="C186" s="1391">
        <v>306.15100000000001</v>
      </c>
      <c r="D186" s="1391">
        <v>2279.15</v>
      </c>
      <c r="E186" s="1391">
        <v>1.011818501098614</v>
      </c>
      <c r="F186" s="1391">
        <v>10.987126179265493</v>
      </c>
      <c r="K186" s="1475">
        <v>42243</v>
      </c>
      <c r="L186" s="1476" t="s">
        <v>2127</v>
      </c>
      <c r="M186" s="1477">
        <v>5.2531000000000001E-2</v>
      </c>
      <c r="N186" s="1478">
        <v>1.0638831075487485</v>
      </c>
      <c r="O186" s="1478">
        <v>1.0638831075487485</v>
      </c>
    </row>
    <row r="187" spans="2:15">
      <c r="B187" s="1390">
        <v>38108</v>
      </c>
      <c r="C187" s="1391">
        <v>310.15199999999999</v>
      </c>
      <c r="D187" s="1391">
        <v>2290.77</v>
      </c>
      <c r="E187" s="1391">
        <v>1.0122780474663127</v>
      </c>
      <c r="F187" s="1391">
        <v>11.122026636012881</v>
      </c>
      <c r="K187" s="1475">
        <v>42244</v>
      </c>
      <c r="L187" s="1476" t="s">
        <v>2127</v>
      </c>
      <c r="M187" s="1477">
        <v>5.2531000000000001E-2</v>
      </c>
      <c r="N187" s="1478">
        <v>1.0644419759839749</v>
      </c>
      <c r="O187" s="1478">
        <v>1.0644419759839749</v>
      </c>
    </row>
    <row r="188" spans="2:15">
      <c r="B188" s="1390">
        <v>38139</v>
      </c>
      <c r="C188" s="1391">
        <v>314.41899999999998</v>
      </c>
      <c r="D188" s="1391">
        <v>2307.0300000000002</v>
      </c>
      <c r="E188" s="1391">
        <v>1.0122988884857291</v>
      </c>
      <c r="F188" s="1391">
        <v>11.258815201344513</v>
      </c>
      <c r="K188" s="1475">
        <v>42245</v>
      </c>
      <c r="L188" s="1476"/>
      <c r="M188" s="1477">
        <v>0</v>
      </c>
      <c r="N188" s="1478">
        <v>1.0644419759839749</v>
      </c>
      <c r="O188" s="1478">
        <v>1.0644419759839749</v>
      </c>
    </row>
    <row r="189" spans="2:15">
      <c r="B189" s="1390">
        <v>38169</v>
      </c>
      <c r="C189" s="1391">
        <v>318.53199999999998</v>
      </c>
      <c r="D189" s="1391">
        <v>2328.02</v>
      </c>
      <c r="E189" s="1391">
        <v>1.012868893920805</v>
      </c>
      <c r="F189" s="1391">
        <v>11.403703699844563</v>
      </c>
      <c r="K189" s="1475">
        <v>42246</v>
      </c>
      <c r="L189" s="1476"/>
      <c r="M189" s="1477">
        <v>0</v>
      </c>
      <c r="N189" s="1478">
        <v>1.0644419759839749</v>
      </c>
      <c r="O189" s="1478">
        <v>1.0644419759839749</v>
      </c>
    </row>
    <row r="190" spans="2:15">
      <c r="B190" s="1390">
        <v>38200</v>
      </c>
      <c r="C190" s="1391">
        <v>322.41199999999998</v>
      </c>
      <c r="D190" s="1391">
        <v>2344.08</v>
      </c>
      <c r="E190" s="1391">
        <v>1.0129358583775749</v>
      </c>
      <c r="F190" s="1391">
        <v>11.551220395885579</v>
      </c>
      <c r="K190" s="1475">
        <v>42247</v>
      </c>
      <c r="L190" s="1476" t="s">
        <v>2127</v>
      </c>
      <c r="M190" s="1477">
        <v>5.2531000000000001E-2</v>
      </c>
      <c r="N190" s="1478">
        <v>1.065001137998379</v>
      </c>
      <c r="O190" s="1478">
        <v>1.065001137998379</v>
      </c>
    </row>
    <row r="191" spans="2:15">
      <c r="B191" s="1390">
        <v>38231</v>
      </c>
      <c r="C191" s="1391">
        <v>324.65100000000001</v>
      </c>
      <c r="D191" s="1391">
        <v>2351.8200000000002</v>
      </c>
      <c r="E191" s="1391">
        <v>1.0125132709021758</v>
      </c>
      <c r="F191" s="1391">
        <v>11.695763945950034</v>
      </c>
      <c r="K191" s="1475">
        <v>42248</v>
      </c>
      <c r="L191" s="1476" t="s">
        <v>2127</v>
      </c>
      <c r="M191" s="1477">
        <v>5.2531000000000001E-2</v>
      </c>
      <c r="N191" s="1478">
        <v>1.065560593746181</v>
      </c>
      <c r="O191" s="1478">
        <v>1.065560593746181</v>
      </c>
    </row>
    <row r="192" spans="2:15">
      <c r="B192" s="1390">
        <v>38261</v>
      </c>
      <c r="C192" s="1391">
        <v>325.92500000000001</v>
      </c>
      <c r="D192" s="1391">
        <v>2362.17</v>
      </c>
      <c r="E192" s="1391">
        <v>1.0121322386789289</v>
      </c>
      <c r="F192" s="1391">
        <v>11.837659745674712</v>
      </c>
      <c r="K192" s="1475">
        <v>42249</v>
      </c>
      <c r="L192" s="1476" t="s">
        <v>2127</v>
      </c>
      <c r="M192" s="1477">
        <v>5.2531000000000001E-2</v>
      </c>
      <c r="N192" s="1478">
        <v>1.0661203433816817</v>
      </c>
      <c r="O192" s="1478">
        <v>1.0661203433816817</v>
      </c>
    </row>
    <row r="193" spans="2:15">
      <c r="B193" s="1390">
        <v>38292</v>
      </c>
      <c r="C193" s="1391">
        <v>328.58800000000002</v>
      </c>
      <c r="D193" s="1391">
        <v>2378.4699999999998</v>
      </c>
      <c r="E193" s="1391">
        <v>1.0125098562166484</v>
      </c>
      <c r="F193" s="1391">
        <v>11.985747167034708</v>
      </c>
      <c r="K193" s="1475">
        <v>42250</v>
      </c>
      <c r="L193" s="1476" t="s">
        <v>2127</v>
      </c>
      <c r="M193" s="1477">
        <v>5.2531000000000001E-2</v>
      </c>
      <c r="N193" s="1478">
        <v>1.0666803870592636</v>
      </c>
      <c r="O193" s="1478">
        <v>1.0666803870592636</v>
      </c>
    </row>
    <row r="194" spans="2:15">
      <c r="B194" s="1390">
        <v>38322</v>
      </c>
      <c r="C194" s="1391">
        <v>331.005</v>
      </c>
      <c r="D194" s="1391">
        <v>2398.92</v>
      </c>
      <c r="E194" s="1391">
        <v>1.0148282315457626</v>
      </c>
      <c r="F194" s="1391">
        <v>12.163474601276468</v>
      </c>
      <c r="K194" s="1475">
        <v>42251</v>
      </c>
      <c r="L194" s="1476" t="s">
        <v>2127</v>
      </c>
      <c r="M194" s="1477">
        <v>5.2531000000000001E-2</v>
      </c>
      <c r="N194" s="1478">
        <v>1.0672407249333897</v>
      </c>
      <c r="O194" s="1478">
        <v>1.0672407249333897</v>
      </c>
    </row>
    <row r="195" spans="2:15">
      <c r="B195" s="1390">
        <v>38353</v>
      </c>
      <c r="C195" s="1391">
        <v>332.298</v>
      </c>
      <c r="D195" s="1391">
        <v>2412.83</v>
      </c>
      <c r="E195" s="1391">
        <v>1.0138388229391033</v>
      </c>
      <c r="F195" s="1391">
        <v>12.331802772607814</v>
      </c>
      <c r="K195" s="1475">
        <v>42252</v>
      </c>
      <c r="L195" s="1476"/>
      <c r="M195" s="1477">
        <v>0</v>
      </c>
      <c r="N195" s="1478">
        <v>1.0672407249333897</v>
      </c>
      <c r="O195" s="1478">
        <v>1.0672407249333897</v>
      </c>
    </row>
    <row r="196" spans="2:15">
      <c r="B196" s="1390">
        <v>38384</v>
      </c>
      <c r="C196" s="1391">
        <v>333.28800000000001</v>
      </c>
      <c r="D196" s="1391">
        <v>2427.0700000000002</v>
      </c>
      <c r="E196" s="1391">
        <v>1.0121818576713373</v>
      </c>
      <c r="F196" s="1391">
        <v>12.482027038814724</v>
      </c>
      <c r="K196" s="1475">
        <v>42253</v>
      </c>
      <c r="L196" s="1476"/>
      <c r="M196" s="1477">
        <v>0</v>
      </c>
      <c r="N196" s="1478">
        <v>1.0672407249333897</v>
      </c>
      <c r="O196" s="1478">
        <v>1.0672407249333897</v>
      </c>
    </row>
    <row r="197" spans="2:15">
      <c r="B197" s="1390">
        <v>38412</v>
      </c>
      <c r="C197" s="1391">
        <v>336.12299999999999</v>
      </c>
      <c r="D197" s="1391">
        <v>2441.87</v>
      </c>
      <c r="E197" s="1391">
        <v>1.0152817807540921</v>
      </c>
      <c r="F197" s="1391">
        <v>12.672774639388541</v>
      </c>
      <c r="G197" s="67"/>
      <c r="K197" s="1475">
        <v>42254</v>
      </c>
      <c r="L197" s="1476"/>
      <c r="M197" s="1477">
        <v>0</v>
      </c>
      <c r="N197" s="1478">
        <v>1.0672407249333897</v>
      </c>
      <c r="O197" s="1478">
        <v>1.0672407249333897</v>
      </c>
    </row>
    <row r="198" spans="2:15">
      <c r="B198" s="1390">
        <v>38443</v>
      </c>
      <c r="C198" s="1391">
        <v>339.03</v>
      </c>
      <c r="D198" s="1391">
        <v>2463.11</v>
      </c>
      <c r="E198" s="1391">
        <v>1.0141152901477553</v>
      </c>
      <c r="F198" s="1391">
        <v>12.851654530400625</v>
      </c>
      <c r="K198" s="1475">
        <v>42255</v>
      </c>
      <c r="L198" s="1476" t="s">
        <v>2127</v>
      </c>
      <c r="M198" s="1477">
        <v>5.2531000000000001E-2</v>
      </c>
      <c r="N198" s="1478">
        <v>1.0678013571586045</v>
      </c>
      <c r="O198" s="1478">
        <v>1.0678013571586045</v>
      </c>
    </row>
    <row r="199" spans="2:15">
      <c r="B199" s="1390">
        <v>38473</v>
      </c>
      <c r="C199" s="1391">
        <v>338.29899999999998</v>
      </c>
      <c r="D199" s="1391">
        <v>2475.1799999999998</v>
      </c>
      <c r="E199" s="1391">
        <v>1.0150306502044895</v>
      </c>
      <c r="F199" s="1391">
        <v>13.044823254196018</v>
      </c>
      <c r="K199" s="1475">
        <v>42256</v>
      </c>
      <c r="L199" s="1476" t="s">
        <v>2127</v>
      </c>
      <c r="M199" s="1477">
        <v>5.2531000000000001E-2</v>
      </c>
      <c r="N199" s="1478">
        <v>1.0683622838895335</v>
      </c>
      <c r="O199" s="1478">
        <v>1.0683622838895335</v>
      </c>
    </row>
    <row r="200" spans="2:15">
      <c r="B200" s="1390">
        <v>38504</v>
      </c>
      <c r="C200" s="1391">
        <v>336.80099999999999</v>
      </c>
      <c r="D200" s="1391">
        <v>2474.6799999999998</v>
      </c>
      <c r="E200" s="1391">
        <v>1.0158560276185216</v>
      </c>
      <c r="F200" s="1391">
        <v>13.251662331993282</v>
      </c>
      <c r="K200" s="1475">
        <v>42257</v>
      </c>
      <c r="L200" s="1476" t="s">
        <v>2127</v>
      </c>
      <c r="M200" s="1477">
        <v>5.2531000000000001E-2</v>
      </c>
      <c r="N200" s="1478">
        <v>1.0689235052808834</v>
      </c>
      <c r="O200" s="1478">
        <v>1.0689235052808834</v>
      </c>
    </row>
    <row r="201" spans="2:15">
      <c r="B201" s="1390">
        <v>38534</v>
      </c>
      <c r="C201" s="1391">
        <v>335.66300000000001</v>
      </c>
      <c r="D201" s="1391">
        <v>2480.87</v>
      </c>
      <c r="E201" s="1391">
        <v>1.0151134516871545</v>
      </c>
      <c r="F201" s="1391">
        <v>13.451940690422347</v>
      </c>
      <c r="K201" s="1475">
        <v>42258</v>
      </c>
      <c r="L201" s="1476" t="s">
        <v>2127</v>
      </c>
      <c r="M201" s="1477">
        <v>5.2531000000000001E-2</v>
      </c>
      <c r="N201" s="1478">
        <v>1.0694850214874425</v>
      </c>
      <c r="O201" s="1478">
        <v>1.0694850214874425</v>
      </c>
    </row>
    <row r="202" spans="2:15">
      <c r="B202" s="1390">
        <v>38565</v>
      </c>
      <c r="C202" s="1391">
        <v>333.47399999999999</v>
      </c>
      <c r="D202" s="1391">
        <v>2485.09</v>
      </c>
      <c r="E202" s="1391">
        <v>1.0165848332092207</v>
      </c>
      <c r="F202" s="1391">
        <v>13.675038883113331</v>
      </c>
      <c r="K202" s="1475">
        <v>42259</v>
      </c>
      <c r="L202" s="1476"/>
      <c r="M202" s="1477">
        <v>0</v>
      </c>
      <c r="N202" s="1478">
        <v>1.0694850214874425</v>
      </c>
      <c r="O202" s="1478">
        <v>1.0694850214874425</v>
      </c>
    </row>
    <row r="203" spans="2:15">
      <c r="B203" s="1390">
        <v>38596</v>
      </c>
      <c r="C203" s="1391">
        <v>331.69</v>
      </c>
      <c r="D203" s="1391">
        <v>2493.79</v>
      </c>
      <c r="E203" s="1391">
        <v>1.0150313602253485</v>
      </c>
      <c r="F203" s="1391">
        <v>13.880593318661054</v>
      </c>
      <c r="K203" s="1475">
        <v>42260</v>
      </c>
      <c r="L203" s="1476"/>
      <c r="M203" s="1477">
        <v>0</v>
      </c>
      <c r="N203" s="1478">
        <v>1.0694850214874425</v>
      </c>
      <c r="O203" s="1478">
        <v>1.0694850214874425</v>
      </c>
    </row>
    <row r="204" spans="2:15">
      <c r="B204" s="1390">
        <v>38626</v>
      </c>
      <c r="C204" s="1391">
        <v>333.69400000000002</v>
      </c>
      <c r="D204" s="1391">
        <v>2512.4899999999998</v>
      </c>
      <c r="E204" s="1391">
        <v>1.0140716431638075</v>
      </c>
      <c r="F204" s="1391">
        <v>14.075916074743184</v>
      </c>
      <c r="K204" s="1475">
        <v>42261</v>
      </c>
      <c r="L204" s="1476" t="s">
        <v>2127</v>
      </c>
      <c r="M204" s="1477">
        <v>5.2531000000000001E-2</v>
      </c>
      <c r="N204" s="1478">
        <v>1.0700468326640802</v>
      </c>
      <c r="O204" s="1478">
        <v>1.0700468326640802</v>
      </c>
    </row>
    <row r="205" spans="2:15">
      <c r="B205" s="1390">
        <v>38657</v>
      </c>
      <c r="C205" s="1391">
        <v>335.03300000000002</v>
      </c>
      <c r="D205" s="1391">
        <v>2526.31</v>
      </c>
      <c r="E205" s="1391">
        <v>1.0138104099310956</v>
      </c>
      <c r="F205" s="1391">
        <v>14.270310245891086</v>
      </c>
      <c r="K205" s="1475">
        <v>42262</v>
      </c>
      <c r="L205" s="1476" t="s">
        <v>2127</v>
      </c>
      <c r="M205" s="1477">
        <v>5.2531000000000001E-2</v>
      </c>
      <c r="N205" s="1478">
        <v>1.0706089389657469</v>
      </c>
      <c r="O205" s="1478">
        <v>1.0706089389657469</v>
      </c>
    </row>
    <row r="206" spans="2:15">
      <c r="B206" s="1390">
        <v>38687</v>
      </c>
      <c r="C206" s="1391">
        <v>335.00599999999997</v>
      </c>
      <c r="D206" s="1391">
        <v>2535.4</v>
      </c>
      <c r="E206" s="1391">
        <v>1.0147357208231795</v>
      </c>
      <c r="F206" s="1391">
        <v>14.480593553734694</v>
      </c>
      <c r="K206" s="1475">
        <v>42263</v>
      </c>
      <c r="L206" s="1476" t="s">
        <v>2127</v>
      </c>
      <c r="M206" s="1477">
        <v>5.2531000000000001E-2</v>
      </c>
      <c r="N206" s="1478">
        <v>1.071171340547475</v>
      </c>
      <c r="O206" s="1478">
        <v>1.071171340547475</v>
      </c>
    </row>
    <row r="207" spans="2:15">
      <c r="B207" s="1390">
        <v>38718</v>
      </c>
      <c r="C207" s="1391">
        <v>338.08300000000003</v>
      </c>
      <c r="D207" s="1391">
        <v>2550.36</v>
      </c>
      <c r="E207" s="1391">
        <v>1.0142931741687891</v>
      </c>
      <c r="F207" s="1391">
        <v>14.687567199465668</v>
      </c>
      <c r="K207" s="1475">
        <v>42264</v>
      </c>
      <c r="L207" s="1476" t="s">
        <v>2127</v>
      </c>
      <c r="M207" s="1477">
        <v>5.2531000000000001E-2</v>
      </c>
      <c r="N207" s="1478">
        <v>1.071734037564378</v>
      </c>
      <c r="O207" s="1478">
        <v>1.071734037564378</v>
      </c>
    </row>
    <row r="208" spans="2:15">
      <c r="B208" s="1390">
        <v>38749</v>
      </c>
      <c r="C208" s="1391">
        <v>338.12799999999999</v>
      </c>
      <c r="D208" s="1391">
        <v>2560.8200000000002</v>
      </c>
      <c r="E208" s="1391">
        <v>1.0114506306443078</v>
      </c>
      <c r="F208" s="1391">
        <v>14.855749106530201</v>
      </c>
      <c r="K208" s="1475">
        <v>42265</v>
      </c>
      <c r="L208" s="1476" t="s">
        <v>2127</v>
      </c>
      <c r="M208" s="1477">
        <v>5.2531000000000001E-2</v>
      </c>
      <c r="N208" s="1478">
        <v>1.072297030171651</v>
      </c>
      <c r="O208" s="1478">
        <v>1.072297030171651</v>
      </c>
    </row>
    <row r="209" spans="2:15">
      <c r="B209" s="1390">
        <v>38777</v>
      </c>
      <c r="C209" s="1391">
        <v>337.339</v>
      </c>
      <c r="D209" s="1391">
        <v>2571.83</v>
      </c>
      <c r="E209" s="1391">
        <v>1.0142230199009199</v>
      </c>
      <c r="F209" s="1391">
        <v>15.067042721715453</v>
      </c>
      <c r="K209" s="1475">
        <v>42266</v>
      </c>
      <c r="L209" s="1476"/>
      <c r="M209" s="1477">
        <v>0</v>
      </c>
      <c r="N209" s="1478">
        <v>1.072297030171651</v>
      </c>
      <c r="O209" s="1478">
        <v>1.072297030171651</v>
      </c>
    </row>
    <row r="210" spans="2:15">
      <c r="B210" s="1390">
        <v>38808</v>
      </c>
      <c r="C210" s="1391">
        <v>335.92099999999999</v>
      </c>
      <c r="D210" s="1391">
        <v>2577.23</v>
      </c>
      <c r="E210" s="1391">
        <v>1.0107787821533378</v>
      </c>
      <c r="F210" s="1391">
        <v>15.229447092907858</v>
      </c>
      <c r="K210" s="1475">
        <v>42267</v>
      </c>
      <c r="L210" s="1476"/>
      <c r="M210" s="1477">
        <v>0</v>
      </c>
      <c r="N210" s="1478">
        <v>1.072297030171651</v>
      </c>
      <c r="O210" s="1478">
        <v>1.072297030171651</v>
      </c>
    </row>
    <row r="211" spans="2:15">
      <c r="B211" s="1390">
        <v>38838</v>
      </c>
      <c r="C211" s="1391">
        <v>337.185</v>
      </c>
      <c r="D211" s="1391">
        <v>2579.81</v>
      </c>
      <c r="E211" s="1391">
        <v>1.0128136552027243</v>
      </c>
      <c r="F211" s="1391">
        <v>15.424591976884511</v>
      </c>
      <c r="K211" s="1475">
        <v>42268</v>
      </c>
      <c r="L211" s="1476" t="s">
        <v>2127</v>
      </c>
      <c r="M211" s="1477">
        <v>5.2531000000000001E-2</v>
      </c>
      <c r="N211" s="1478">
        <v>1.0728603185245704</v>
      </c>
      <c r="O211" s="1478">
        <v>1.0728603185245704</v>
      </c>
    </row>
    <row r="212" spans="2:15">
      <c r="B212" s="1390">
        <v>38869</v>
      </c>
      <c r="C212" s="1391">
        <v>339.71199999999999</v>
      </c>
      <c r="D212" s="1391">
        <v>2574.39</v>
      </c>
      <c r="E212" s="1391">
        <v>1.0118439390435949</v>
      </c>
      <c r="F212" s="1391">
        <v>15.607279904031055</v>
      </c>
      <c r="K212" s="1475">
        <v>42269</v>
      </c>
      <c r="L212" s="1476" t="s">
        <v>2127</v>
      </c>
      <c r="M212" s="1477">
        <v>5.2531000000000001E-2</v>
      </c>
      <c r="N212" s="1478">
        <v>1.0734239027784946</v>
      </c>
      <c r="O212" s="1478">
        <v>1.0734239027784946</v>
      </c>
    </row>
    <row r="213" spans="2:15">
      <c r="B213" s="1390">
        <v>38899</v>
      </c>
      <c r="C213" s="1391">
        <v>340.31200000000001</v>
      </c>
      <c r="D213" s="1391">
        <v>2579.2800000000002</v>
      </c>
      <c r="E213" s="1391">
        <v>1.0116996590630269</v>
      </c>
      <c r="F213" s="1391">
        <v>15.78987975780945</v>
      </c>
      <c r="K213" s="1475">
        <v>42270</v>
      </c>
      <c r="L213" s="1476" t="s">
        <v>2127</v>
      </c>
      <c r="M213" s="1477">
        <v>5.2531000000000001E-2</v>
      </c>
      <c r="N213" s="1478">
        <v>1.0739877830888631</v>
      </c>
      <c r="O213" s="1478">
        <v>1.0739877830888631</v>
      </c>
    </row>
    <row r="214" spans="2:15">
      <c r="B214" s="1390">
        <v>38930</v>
      </c>
      <c r="C214" s="1391">
        <v>341.57400000000001</v>
      </c>
      <c r="D214" s="1391">
        <v>2580.5700000000002</v>
      </c>
      <c r="E214" s="1391">
        <v>1.012562646303421</v>
      </c>
      <c r="F214" s="1391">
        <v>15.988242432380357</v>
      </c>
      <c r="K214" s="1475">
        <v>42271</v>
      </c>
      <c r="L214" s="1476" t="s">
        <v>2127</v>
      </c>
      <c r="M214" s="1477">
        <v>5.2531000000000001E-2</v>
      </c>
      <c r="N214" s="1478">
        <v>1.0745519596111974</v>
      </c>
      <c r="O214" s="1478">
        <v>1.0745519596111974</v>
      </c>
    </row>
    <row r="215" spans="2:15" ht="13.5" customHeight="1">
      <c r="B215" s="1390">
        <v>38961</v>
      </c>
      <c r="C215" s="1391">
        <v>342.56099999999998</v>
      </c>
      <c r="D215" s="1391">
        <v>2585.9899999999998</v>
      </c>
      <c r="E215" s="1391">
        <v>1.0105730983323107</v>
      </c>
      <c r="F215" s="1391">
        <v>16.157287691778738</v>
      </c>
      <c r="K215" s="1475">
        <v>42272</v>
      </c>
      <c r="L215" s="1476" t="s">
        <v>2127</v>
      </c>
      <c r="M215" s="1477">
        <v>5.2531000000000001E-2</v>
      </c>
      <c r="N215" s="1478">
        <v>1.0751164325011009</v>
      </c>
      <c r="O215" s="1478">
        <v>1.0751164325011009</v>
      </c>
    </row>
    <row r="216" spans="2:15">
      <c r="B216" s="1390">
        <v>38991</v>
      </c>
      <c r="C216" s="1391">
        <v>344.15499999999997</v>
      </c>
      <c r="D216" s="1391">
        <v>2594.52</v>
      </c>
      <c r="E216" s="1391">
        <v>1.0109424441222723</v>
      </c>
      <c r="F216" s="1391">
        <v>16.334087909513503</v>
      </c>
      <c r="K216" s="1475">
        <v>42273</v>
      </c>
      <c r="L216" s="1476"/>
      <c r="M216" s="1477">
        <v>0</v>
      </c>
      <c r="N216" s="1478">
        <v>1.0751164325011009</v>
      </c>
      <c r="O216" s="1478">
        <v>1.0751164325011009</v>
      </c>
    </row>
    <row r="217" spans="2:15">
      <c r="B217" s="1390">
        <v>39022</v>
      </c>
      <c r="C217" s="1391">
        <v>346.74599999999998</v>
      </c>
      <c r="D217" s="1391">
        <v>2602.56</v>
      </c>
      <c r="E217" s="1391">
        <v>1.0102060517349183</v>
      </c>
      <c r="F217" s="1391">
        <v>16.500794455760701</v>
      </c>
      <c r="K217" s="1475">
        <v>42274</v>
      </c>
      <c r="L217" s="1476"/>
      <c r="M217" s="1477">
        <v>0</v>
      </c>
      <c r="N217" s="1478">
        <v>1.0751164325011009</v>
      </c>
      <c r="O217" s="1478">
        <v>1.0751164325011009</v>
      </c>
    </row>
    <row r="218" spans="2:15">
      <c r="B218" s="1390">
        <v>39052</v>
      </c>
      <c r="C218" s="1391">
        <v>347.84199999999998</v>
      </c>
      <c r="D218" s="1391">
        <v>2615.0500000000002</v>
      </c>
      <c r="E218" s="1391">
        <v>1.0098788606332807</v>
      </c>
      <c r="F218" s="1391">
        <v>16.663803504527571</v>
      </c>
      <c r="K218" s="1475">
        <v>42275</v>
      </c>
      <c r="L218" s="1476" t="s">
        <v>2127</v>
      </c>
      <c r="M218" s="1477">
        <v>5.2531000000000001E-2</v>
      </c>
      <c r="N218" s="1478">
        <v>1.0756812019142581</v>
      </c>
      <c r="O218" s="1478">
        <v>1.0756812019142581</v>
      </c>
    </row>
    <row r="219" spans="2:15">
      <c r="B219" s="1390">
        <v>39083</v>
      </c>
      <c r="C219" s="1391">
        <v>349.59300000000002</v>
      </c>
      <c r="D219" s="1391">
        <v>2626.56</v>
      </c>
      <c r="E219" s="1391">
        <v>1.0108280266006449</v>
      </c>
      <c r="F219" s="1391">
        <v>16.844239612142516</v>
      </c>
      <c r="K219" s="1475">
        <v>42276</v>
      </c>
      <c r="L219" s="1476" t="s">
        <v>2127</v>
      </c>
      <c r="M219" s="1477">
        <v>5.2531000000000001E-2</v>
      </c>
      <c r="N219" s="1478">
        <v>1.0762462680064357</v>
      </c>
      <c r="O219" s="1478">
        <v>1.0762462680064357</v>
      </c>
    </row>
    <row r="220" spans="2:15">
      <c r="B220" s="1390">
        <v>39114</v>
      </c>
      <c r="C220" s="1391">
        <v>350.524</v>
      </c>
      <c r="D220" s="1391">
        <v>2638.12</v>
      </c>
      <c r="E220" s="1391">
        <v>1.008724844950982</v>
      </c>
      <c r="F220" s="1391">
        <v>16.991202991075649</v>
      </c>
      <c r="K220" s="1475">
        <v>42277</v>
      </c>
      <c r="L220" s="1476" t="s">
        <v>2127</v>
      </c>
      <c r="M220" s="1477">
        <v>5.2531000000000001E-2</v>
      </c>
      <c r="N220" s="1478">
        <v>1.0768116309334823</v>
      </c>
      <c r="O220" s="1478">
        <v>1.0768116309334823</v>
      </c>
    </row>
    <row r="221" spans="2:15">
      <c r="B221" s="1390">
        <v>39142</v>
      </c>
      <c r="C221" s="1391">
        <v>351.71699999999998</v>
      </c>
      <c r="D221" s="1391">
        <v>2647.88</v>
      </c>
      <c r="E221" s="1391">
        <v>1.0105222327764332</v>
      </c>
      <c r="F221" s="1391">
        <v>17.169988384099376</v>
      </c>
      <c r="K221" s="1475">
        <v>42278</v>
      </c>
      <c r="L221" s="1476" t="s">
        <v>2127</v>
      </c>
      <c r="M221" s="1477">
        <v>5.2531000000000001E-2</v>
      </c>
      <c r="N221" s="1478">
        <v>1.0773772908513279</v>
      </c>
      <c r="O221" s="1478">
        <v>1.0773772908513279</v>
      </c>
    </row>
    <row r="222" spans="2:15">
      <c r="B222" s="1390">
        <v>39173</v>
      </c>
      <c r="C222" s="1391">
        <v>351.86900000000003</v>
      </c>
      <c r="D222" s="1391">
        <v>2654.5</v>
      </c>
      <c r="E222" s="1391">
        <v>1.0094482340398951</v>
      </c>
      <c r="F222" s="1391">
        <v>17.332214452814629</v>
      </c>
      <c r="K222" s="1475">
        <v>42279</v>
      </c>
      <c r="L222" s="1476" t="s">
        <v>2127</v>
      </c>
      <c r="M222" s="1477">
        <v>5.2531000000000001E-2</v>
      </c>
      <c r="N222" s="1478">
        <v>1.0779432479159849</v>
      </c>
      <c r="O222" s="1478">
        <v>1.0779432479159849</v>
      </c>
    </row>
    <row r="223" spans="2:15">
      <c r="B223" s="1390">
        <v>39203</v>
      </c>
      <c r="C223" s="1391">
        <v>352.02</v>
      </c>
      <c r="D223" s="1391">
        <v>2661.93</v>
      </c>
      <c r="E223" s="1391">
        <v>1.0102807696314628</v>
      </c>
      <c r="F223" s="1391">
        <v>17.510402956807127</v>
      </c>
      <c r="K223" s="1475">
        <v>42280</v>
      </c>
      <c r="L223" s="1476"/>
      <c r="M223" s="1477">
        <v>0</v>
      </c>
      <c r="N223" s="1478">
        <v>1.0779432479159849</v>
      </c>
      <c r="O223" s="1478">
        <v>1.0779432479159849</v>
      </c>
    </row>
    <row r="224" spans="2:15">
      <c r="B224" s="1390">
        <v>39234</v>
      </c>
      <c r="C224" s="1391">
        <v>352.93599999999998</v>
      </c>
      <c r="D224" s="1391">
        <v>2669.38</v>
      </c>
      <c r="E224" s="1391">
        <v>1.0090562894719608</v>
      </c>
      <c r="F224" s="1391">
        <v>17.668982234754651</v>
      </c>
      <c r="K224" s="1475">
        <v>42281</v>
      </c>
      <c r="L224" s="1476"/>
      <c r="M224" s="1477">
        <v>0</v>
      </c>
      <c r="N224" s="1478">
        <v>1.0779432479159849</v>
      </c>
      <c r="O224" s="1478">
        <v>1.0779432479159849</v>
      </c>
    </row>
    <row r="225" spans="2:15">
      <c r="B225" s="1390">
        <v>39264</v>
      </c>
      <c r="C225" s="1391">
        <v>353.92</v>
      </c>
      <c r="D225" s="1391">
        <v>2675.79</v>
      </c>
      <c r="E225" s="1391">
        <v>1.0097263257608722</v>
      </c>
      <c r="F225" s="1391">
        <v>17.840836511832936</v>
      </c>
      <c r="K225" s="1475">
        <v>42282</v>
      </c>
      <c r="L225" s="1476" t="s">
        <v>2127</v>
      </c>
      <c r="M225" s="1477">
        <v>5.2531000000000001E-2</v>
      </c>
      <c r="N225" s="1478">
        <v>1.0785095022835478</v>
      </c>
      <c r="O225" s="1478">
        <v>1.0785095022835478</v>
      </c>
    </row>
    <row r="226" spans="2:15">
      <c r="B226" s="1390">
        <v>39295</v>
      </c>
      <c r="C226" s="1391">
        <v>357.404</v>
      </c>
      <c r="D226" s="1391">
        <v>2688.37</v>
      </c>
      <c r="E226" s="1391">
        <v>1.0099263513682912</v>
      </c>
      <c r="F226" s="1391">
        <v>18.017930923753628</v>
      </c>
      <c r="K226" s="1475">
        <v>42283</v>
      </c>
      <c r="L226" s="1476" t="s">
        <v>2127</v>
      </c>
      <c r="M226" s="1477">
        <v>5.2531000000000001E-2</v>
      </c>
      <c r="N226" s="1478">
        <v>1.0790760541101925</v>
      </c>
      <c r="O226" s="1478">
        <v>1.0790760541101925</v>
      </c>
    </row>
    <row r="227" spans="2:15">
      <c r="B227" s="1390">
        <v>39326</v>
      </c>
      <c r="C227" s="1391">
        <v>361.99700000000001</v>
      </c>
      <c r="D227" s="1391">
        <v>2693.21</v>
      </c>
      <c r="E227" s="1391">
        <v>1.0080496134415582</v>
      </c>
      <c r="F227" s="1391">
        <v>18.162968302706542</v>
      </c>
      <c r="K227" s="1475">
        <v>42284</v>
      </c>
      <c r="L227" s="1476" t="s">
        <v>2127</v>
      </c>
      <c r="M227" s="1477">
        <v>5.2531000000000001E-2</v>
      </c>
      <c r="N227" s="1478">
        <v>1.0796429035521771</v>
      </c>
      <c r="O227" s="1478">
        <v>1.0796429035521771</v>
      </c>
    </row>
    <row r="228" spans="2:15">
      <c r="B228" s="1390">
        <v>39356</v>
      </c>
      <c r="C228" s="1391">
        <v>365.79399999999998</v>
      </c>
      <c r="D228" s="1391">
        <v>2701.29</v>
      </c>
      <c r="E228" s="1391">
        <v>1.0092949262855189</v>
      </c>
      <c r="F228" s="1391">
        <v>18.331791754206414</v>
      </c>
      <c r="K228" s="1475">
        <v>42285</v>
      </c>
      <c r="L228" s="1476" t="s">
        <v>2127</v>
      </c>
      <c r="M228" s="1477">
        <v>5.2531000000000001E-2</v>
      </c>
      <c r="N228" s="1478">
        <v>1.0802100507658421</v>
      </c>
      <c r="O228" s="1478">
        <v>1.0802100507658421</v>
      </c>
    </row>
    <row r="229" spans="2:15">
      <c r="B229" s="1390">
        <v>39387</v>
      </c>
      <c r="C229" s="1391">
        <v>368.334</v>
      </c>
      <c r="D229" s="1391">
        <v>2711.55</v>
      </c>
      <c r="E229" s="1391">
        <v>1.0084467048252397</v>
      </c>
      <c r="F229" s="1391">
        <v>18.486634988071959</v>
      </c>
      <c r="K229" s="1475">
        <v>42286</v>
      </c>
      <c r="L229" s="1476" t="s">
        <v>2127</v>
      </c>
      <c r="M229" s="1477">
        <v>5.2531000000000001E-2</v>
      </c>
      <c r="N229" s="1478">
        <v>1.08077749590761</v>
      </c>
      <c r="O229" s="1478">
        <v>1.08077749590761</v>
      </c>
    </row>
    <row r="230" spans="2:15">
      <c r="B230" s="1390">
        <v>39417</v>
      </c>
      <c r="C230" s="1391">
        <v>374.815</v>
      </c>
      <c r="D230" s="1391">
        <v>2731.62</v>
      </c>
      <c r="E230" s="1391">
        <v>1.0084467048252395</v>
      </c>
      <c r="F230" s="1391">
        <v>18.642786137028146</v>
      </c>
      <c r="K230" s="1475">
        <v>42287</v>
      </c>
      <c r="L230" s="1476"/>
      <c r="M230" s="1477">
        <v>0</v>
      </c>
      <c r="N230" s="1478">
        <v>1.08077749590761</v>
      </c>
      <c r="O230" s="1478">
        <v>1.08077749590761</v>
      </c>
    </row>
    <row r="231" spans="2:15">
      <c r="B231" s="1390">
        <v>39448</v>
      </c>
      <c r="C231" s="1391">
        <v>378.9</v>
      </c>
      <c r="D231" s="1391">
        <v>2746.37</v>
      </c>
      <c r="E231" s="1391">
        <v>1.0092938367057227</v>
      </c>
      <c r="F231" s="1391">
        <v>18.816049147125398</v>
      </c>
      <c r="K231" s="1475">
        <v>42288</v>
      </c>
      <c r="L231" s="1476"/>
      <c r="M231" s="1477">
        <v>0</v>
      </c>
      <c r="N231" s="1478">
        <v>1.08077749590761</v>
      </c>
      <c r="O231" s="1478">
        <v>1.08077749590761</v>
      </c>
    </row>
    <row r="232" spans="2:15">
      <c r="B232" s="1390">
        <v>39479</v>
      </c>
      <c r="C232" s="1391">
        <v>380.90600000000001</v>
      </c>
      <c r="D232" s="1391">
        <v>2759.83</v>
      </c>
      <c r="E232" s="1391">
        <v>1.0080223173492819</v>
      </c>
      <c r="F232" s="1391">
        <v>18.966997464643324</v>
      </c>
      <c r="K232" s="1475">
        <v>42289</v>
      </c>
      <c r="L232" s="1476"/>
      <c r="M232" s="1477">
        <v>0</v>
      </c>
      <c r="N232" s="1478">
        <v>1.08077749590761</v>
      </c>
      <c r="O232" s="1478">
        <v>1.08077749590761</v>
      </c>
    </row>
    <row r="233" spans="2:15">
      <c r="B233" s="1390">
        <v>39508</v>
      </c>
      <c r="C233" s="1391">
        <v>383.73099999999999</v>
      </c>
      <c r="D233" s="1391">
        <v>2773.08</v>
      </c>
      <c r="E233" s="1391">
        <v>1.0084459790490408</v>
      </c>
      <c r="F233" s="1391">
        <v>19.12719232785291</v>
      </c>
      <c r="K233" s="1475">
        <v>42290</v>
      </c>
      <c r="L233" s="1476" t="s">
        <v>2127</v>
      </c>
      <c r="M233" s="1477">
        <v>5.2531000000000001E-2</v>
      </c>
      <c r="N233" s="1478">
        <v>1.0813452391339853</v>
      </c>
      <c r="O233" s="1478">
        <v>1.0813452391339853</v>
      </c>
    </row>
    <row r="234" spans="2:15">
      <c r="B234" s="1390">
        <v>39539</v>
      </c>
      <c r="C234" s="1391">
        <v>386.38</v>
      </c>
      <c r="D234" s="1391">
        <v>2788.33</v>
      </c>
      <c r="E234" s="1391">
        <v>1.0090142575644072</v>
      </c>
      <c r="F234" s="1391">
        <v>19.299609765980129</v>
      </c>
      <c r="K234" s="1475">
        <v>42291</v>
      </c>
      <c r="L234" s="1476" t="s">
        <v>2127</v>
      </c>
      <c r="M234" s="1477">
        <v>5.2531000000000001E-2</v>
      </c>
      <c r="N234" s="1478">
        <v>1.0819132806015548</v>
      </c>
      <c r="O234" s="1478">
        <v>1.0819132806015548</v>
      </c>
    </row>
    <row r="235" spans="2:15">
      <c r="B235" s="1390">
        <v>39569</v>
      </c>
      <c r="C235" s="1391">
        <v>392.59199999999998</v>
      </c>
      <c r="D235" s="1391">
        <v>2810.36</v>
      </c>
      <c r="E235" s="1391">
        <v>1.0087678287685495</v>
      </c>
      <c r="F235" s="1391">
        <v>19.46882543970807</v>
      </c>
      <c r="K235" s="1475">
        <v>42292</v>
      </c>
      <c r="L235" s="1476" t="s">
        <v>2127</v>
      </c>
      <c r="M235" s="1477">
        <v>5.2531000000000001E-2</v>
      </c>
      <c r="N235" s="1478">
        <v>1.0824816204669876</v>
      </c>
      <c r="O235" s="1478">
        <v>1.0824816204669876</v>
      </c>
    </row>
    <row r="236" spans="2:15">
      <c r="B236" s="1390">
        <v>39600</v>
      </c>
      <c r="C236" s="1391">
        <v>400.38200000000001</v>
      </c>
      <c r="D236" s="1391">
        <v>2831.16</v>
      </c>
      <c r="E236" s="1391">
        <v>1.0095559246898425</v>
      </c>
      <c r="F236" s="1391">
        <v>19.654868069409609</v>
      </c>
      <c r="K236" s="1475">
        <v>42293</v>
      </c>
      <c r="L236" s="1476" t="s">
        <v>2127</v>
      </c>
      <c r="M236" s="1477">
        <v>5.2531000000000001E-2</v>
      </c>
      <c r="N236" s="1478">
        <v>1.0830502588870352</v>
      </c>
      <c r="O236" s="1478">
        <v>1.0830502588870352</v>
      </c>
    </row>
    <row r="237" spans="2:15">
      <c r="B237" s="1390">
        <v>39630</v>
      </c>
      <c r="C237" s="1391">
        <v>407.44600000000003</v>
      </c>
      <c r="D237" s="1391">
        <v>2846.16</v>
      </c>
      <c r="E237" s="1391">
        <v>1.0106967121371</v>
      </c>
      <c r="F237" s="1391">
        <v>19.865110535240763</v>
      </c>
      <c r="K237" s="1475">
        <v>42294</v>
      </c>
      <c r="L237" s="1476"/>
      <c r="M237" s="1477">
        <v>0</v>
      </c>
      <c r="N237" s="1478">
        <v>1.0830502588870352</v>
      </c>
      <c r="O237" s="1478">
        <v>1.0830502588870352</v>
      </c>
    </row>
    <row r="238" spans="2:15">
      <c r="B238" s="1390">
        <v>39661</v>
      </c>
      <c r="C238" s="1391">
        <v>406.12700000000001</v>
      </c>
      <c r="D238" s="1391">
        <v>2854.13</v>
      </c>
      <c r="E238" s="1391">
        <v>1.0101765713502602</v>
      </c>
      <c r="F238" s="1391">
        <v>20.067269249983447</v>
      </c>
      <c r="K238" s="1475">
        <v>42295</v>
      </c>
      <c r="L238" s="1476"/>
      <c r="M238" s="1477">
        <v>0</v>
      </c>
      <c r="N238" s="1478">
        <v>1.0830502588870352</v>
      </c>
      <c r="O238" s="1478">
        <v>1.0830502588870352</v>
      </c>
    </row>
    <row r="239" spans="2:15">
      <c r="B239" s="1390">
        <v>39692</v>
      </c>
      <c r="C239" s="1391">
        <v>406.55700000000002</v>
      </c>
      <c r="D239" s="1391">
        <v>2861.55</v>
      </c>
      <c r="E239" s="1391">
        <v>1.011030909274969</v>
      </c>
      <c r="F239" s="1391">
        <v>20.288629476476387</v>
      </c>
      <c r="K239" s="1475">
        <v>42296</v>
      </c>
      <c r="L239" s="1476" t="s">
        <v>2127</v>
      </c>
      <c r="M239" s="1477">
        <v>5.2531000000000001E-2</v>
      </c>
      <c r="N239" s="1478">
        <v>1.0836191960185311</v>
      </c>
      <c r="O239" s="1478">
        <v>1.0836191960185311</v>
      </c>
    </row>
    <row r="240" spans="2:15">
      <c r="B240" s="1390">
        <v>39722</v>
      </c>
      <c r="C240" s="1391">
        <v>410.524</v>
      </c>
      <c r="D240" s="1391">
        <v>2874.43</v>
      </c>
      <c r="E240" s="1391">
        <v>1.0117587656900342</v>
      </c>
      <c r="F240" s="1391">
        <v>20.527198716662195</v>
      </c>
      <c r="K240" s="1475">
        <v>42297</v>
      </c>
      <c r="L240" s="1476" t="s">
        <v>2127</v>
      </c>
      <c r="M240" s="1477">
        <v>5.2531000000000001E-2</v>
      </c>
      <c r="N240" s="1478">
        <v>1.0841884320183917</v>
      </c>
      <c r="O240" s="1478">
        <v>1.0841884320183917</v>
      </c>
    </row>
    <row r="241" spans="2:15">
      <c r="B241" s="1390">
        <v>39753</v>
      </c>
      <c r="C241" s="1391">
        <v>412.10399999999998</v>
      </c>
      <c r="D241" s="1391">
        <v>2884.78</v>
      </c>
      <c r="E241" s="1391">
        <v>1.0101996908301405</v>
      </c>
      <c r="F241" s="1391">
        <v>20.736569797181005</v>
      </c>
      <c r="K241" s="1475">
        <v>42298</v>
      </c>
      <c r="L241" s="1476" t="s">
        <v>2127</v>
      </c>
      <c r="M241" s="1477">
        <v>5.2531000000000001E-2</v>
      </c>
      <c r="N241" s="1478">
        <v>1.0847579670436152</v>
      </c>
      <c r="O241" s="1478">
        <v>1.0847579670436152</v>
      </c>
    </row>
    <row r="242" spans="2:15">
      <c r="B242" s="1390">
        <v>39783</v>
      </c>
      <c r="C242" s="1391">
        <v>411.57499999999999</v>
      </c>
      <c r="D242" s="1391">
        <v>2892.86</v>
      </c>
      <c r="E242" s="1391">
        <v>1.0112409294280835</v>
      </c>
      <c r="F242" s="1391">
        <v>20.969668114851643</v>
      </c>
      <c r="K242" s="1475">
        <v>42299</v>
      </c>
      <c r="L242" s="1476" t="s">
        <v>2127</v>
      </c>
      <c r="M242" s="1477">
        <v>5.2531000000000001E-2</v>
      </c>
      <c r="N242" s="1478">
        <v>1.0853278012512828</v>
      </c>
      <c r="O242" s="1478">
        <v>1.0853278012512828</v>
      </c>
    </row>
    <row r="243" spans="2:15">
      <c r="B243" s="1390">
        <v>39814</v>
      </c>
      <c r="C243" s="1391">
        <v>409.78199999999998</v>
      </c>
      <c r="D243" s="1391">
        <v>2906.74</v>
      </c>
      <c r="E243" s="1391">
        <v>1.0104780743150839</v>
      </c>
      <c r="F243" s="1391">
        <v>21.189389855721704</v>
      </c>
      <c r="K243" s="1475">
        <v>42300</v>
      </c>
      <c r="L243" s="1476" t="s">
        <v>2127</v>
      </c>
      <c r="M243" s="1477">
        <v>5.2531000000000001E-2</v>
      </c>
      <c r="N243" s="1478">
        <v>1.0858979347985582</v>
      </c>
      <c r="O243" s="1478">
        <v>1.0858979347985582</v>
      </c>
    </row>
    <row r="244" spans="2:15">
      <c r="B244" s="1390">
        <v>39845</v>
      </c>
      <c r="C244" s="1391">
        <v>410.84899999999999</v>
      </c>
      <c r="D244" s="1391">
        <v>2922.73</v>
      </c>
      <c r="E244" s="1391">
        <v>1.0085508573858042</v>
      </c>
      <c r="F244" s="1391">
        <v>21.370577306470185</v>
      </c>
      <c r="K244" s="1475">
        <v>42301</v>
      </c>
      <c r="L244" s="1476"/>
      <c r="M244" s="1477">
        <v>0</v>
      </c>
      <c r="N244" s="1478">
        <v>1.0858979347985582</v>
      </c>
      <c r="O244" s="1478">
        <v>1.0858979347985582</v>
      </c>
    </row>
    <row r="245" spans="2:15">
      <c r="B245" s="1390">
        <v>39873</v>
      </c>
      <c r="C245" s="1391">
        <v>407.80799999999999</v>
      </c>
      <c r="D245" s="1391">
        <v>2928.57</v>
      </c>
      <c r="E245" s="1391">
        <v>1.0097088387156097</v>
      </c>
      <c r="F245" s="1391">
        <v>21.578060794798173</v>
      </c>
      <c r="K245" s="1475">
        <v>42302</v>
      </c>
      <c r="L245" s="1476"/>
      <c r="M245" s="1477">
        <v>0</v>
      </c>
      <c r="N245" s="1478">
        <v>1.0858979347985582</v>
      </c>
      <c r="O245" s="1478">
        <v>1.0858979347985582</v>
      </c>
    </row>
    <row r="246" spans="2:15">
      <c r="B246" s="1390">
        <v>39904</v>
      </c>
      <c r="C246" s="1391">
        <v>407.18099999999998</v>
      </c>
      <c r="D246" s="1391">
        <v>2942.63</v>
      </c>
      <c r="E246" s="1391">
        <v>1.008395669248594</v>
      </c>
      <c r="F246" s="1391">
        <v>21.759223056257351</v>
      </c>
      <c r="K246" s="1475">
        <v>42303</v>
      </c>
      <c r="L246" s="1476" t="s">
        <v>2127</v>
      </c>
      <c r="M246" s="1477">
        <v>5.2531000000000001E-2</v>
      </c>
      <c r="N246" s="1478">
        <v>1.0864683678426872</v>
      </c>
      <c r="O246" s="1478">
        <v>1.0864683678426872</v>
      </c>
    </row>
    <row r="247" spans="2:15">
      <c r="B247" s="1390">
        <v>39934</v>
      </c>
      <c r="C247" s="1391">
        <v>406.88499999999999</v>
      </c>
      <c r="D247" s="1391">
        <v>2956.46</v>
      </c>
      <c r="E247" s="1391">
        <v>1.0077089274459567</v>
      </c>
      <c r="F247" s="1391">
        <v>21.926963328078429</v>
      </c>
      <c r="K247" s="1475">
        <v>42304</v>
      </c>
      <c r="L247" s="1476" t="s">
        <v>2127</v>
      </c>
      <c r="M247" s="1477">
        <v>5.2531000000000001E-2</v>
      </c>
      <c r="N247" s="1478">
        <v>1.0870391005409987</v>
      </c>
      <c r="O247" s="1478">
        <v>1.0870391005409987</v>
      </c>
    </row>
    <row r="248" spans="2:15">
      <c r="B248" s="1390">
        <v>39965</v>
      </c>
      <c r="C248" s="1391">
        <v>406.48599999999999</v>
      </c>
      <c r="D248" s="1391">
        <v>2967.1</v>
      </c>
      <c r="E248" s="1391">
        <v>1.0076218232644543</v>
      </c>
      <c r="F248" s="1391">
        <v>22.094086767291213</v>
      </c>
      <c r="K248" s="1475">
        <v>42305</v>
      </c>
      <c r="L248" s="1476" t="s">
        <v>2127</v>
      </c>
      <c r="M248" s="1477">
        <v>5.2531000000000001E-2</v>
      </c>
      <c r="N248" s="1478">
        <v>1.0876101330509038</v>
      </c>
      <c r="O248" s="1478">
        <v>1.0876101330509038</v>
      </c>
    </row>
    <row r="249" spans="2:15">
      <c r="B249" s="1390">
        <v>39995</v>
      </c>
      <c r="C249" s="1391">
        <v>404.71800000000002</v>
      </c>
      <c r="D249" s="1391">
        <v>2974.22</v>
      </c>
      <c r="E249" s="1391">
        <v>1.0079014252372847</v>
      </c>
      <c r="F249" s="1391">
        <v>22.268661542069044</v>
      </c>
      <c r="K249" s="1475">
        <v>42306</v>
      </c>
      <c r="L249" s="1476" t="s">
        <v>2127</v>
      </c>
      <c r="M249" s="1477">
        <v>5.2531000000000001E-2</v>
      </c>
      <c r="N249" s="1478">
        <v>1.0881814655298967</v>
      </c>
      <c r="O249" s="1478">
        <v>1.0881814655298967</v>
      </c>
    </row>
    <row r="250" spans="2:15">
      <c r="B250" s="1390">
        <v>40026</v>
      </c>
      <c r="C250" s="1391">
        <v>403.25299999999999</v>
      </c>
      <c r="D250" s="1391">
        <v>2978.68</v>
      </c>
      <c r="E250" s="1391">
        <v>1.0069374854840563</v>
      </c>
      <c r="F250" s="1391">
        <v>22.423150058266511</v>
      </c>
      <c r="K250" s="1475">
        <v>42307</v>
      </c>
      <c r="L250" s="1476" t="s">
        <v>2127</v>
      </c>
      <c r="M250" s="1477">
        <v>5.2531000000000001E-2</v>
      </c>
      <c r="N250" s="1478">
        <v>1.0887530981355542</v>
      </c>
      <c r="O250" s="1478">
        <v>1.0887530981355542</v>
      </c>
    </row>
    <row r="251" spans="2:15">
      <c r="B251" s="1390">
        <v>40057</v>
      </c>
      <c r="C251" s="1391">
        <v>404.94499999999999</v>
      </c>
      <c r="D251" s="1391">
        <v>2985.83</v>
      </c>
      <c r="E251" s="1391">
        <v>1.0069374854840563</v>
      </c>
      <c r="F251" s="1391">
        <v>22.578710336302549</v>
      </c>
      <c r="K251" s="1475">
        <v>42308</v>
      </c>
      <c r="L251" s="1476"/>
      <c r="M251" s="1477">
        <v>0</v>
      </c>
      <c r="N251" s="1478">
        <v>1.0887530981355542</v>
      </c>
      <c r="O251" s="1478">
        <v>1.0887530981355542</v>
      </c>
    </row>
    <row r="252" spans="2:15">
      <c r="B252" s="1390">
        <v>40087</v>
      </c>
      <c r="C252" s="1391">
        <v>405.12900000000002</v>
      </c>
      <c r="D252" s="1391">
        <v>2994.19</v>
      </c>
      <c r="E252" s="1391">
        <v>1.006937485484056</v>
      </c>
      <c r="F252" s="1391">
        <v>22.735349811509355</v>
      </c>
      <c r="K252" s="1475">
        <v>42309</v>
      </c>
      <c r="L252" s="1476"/>
      <c r="M252" s="1477">
        <v>0</v>
      </c>
      <c r="N252" s="1478">
        <v>1.0887530981355542</v>
      </c>
      <c r="O252" s="1478">
        <v>1.0887530981355542</v>
      </c>
    </row>
    <row r="253" spans="2:15">
      <c r="B253" s="1390">
        <v>40118</v>
      </c>
      <c r="C253" s="1391">
        <v>405.548</v>
      </c>
      <c r="D253" s="1391">
        <v>3006.47</v>
      </c>
      <c r="E253" s="1391">
        <v>1.006606040313162</v>
      </c>
      <c r="F253" s="1391">
        <v>22.885540448898027</v>
      </c>
      <c r="K253" s="1475">
        <v>42310</v>
      </c>
      <c r="L253" s="1476"/>
      <c r="M253" s="1477">
        <v>0</v>
      </c>
      <c r="N253" s="1478">
        <v>1.0887530981355542</v>
      </c>
      <c r="O253" s="1478">
        <v>1.0887530981355542</v>
      </c>
    </row>
    <row r="254" spans="2:15">
      <c r="B254" s="1390">
        <v>40148</v>
      </c>
      <c r="C254" s="1391">
        <v>404.49900000000002</v>
      </c>
      <c r="D254" s="1391">
        <v>3017.59</v>
      </c>
      <c r="E254" s="1391">
        <v>1.0072686672230315</v>
      </c>
      <c r="F254" s="1391">
        <v>23.051887826640293</v>
      </c>
      <c r="K254" s="1475">
        <v>42311</v>
      </c>
      <c r="L254" s="1476" t="s">
        <v>2127</v>
      </c>
      <c r="M254" s="1477">
        <v>5.2531000000000001E-2</v>
      </c>
      <c r="N254" s="1478">
        <v>1.0893250310255358</v>
      </c>
      <c r="O254" s="1478">
        <v>1.0893250310255358</v>
      </c>
    </row>
    <row r="255" spans="2:15">
      <c r="B255" s="1390">
        <v>40179</v>
      </c>
      <c r="C255" s="1391">
        <v>407.04899999999998</v>
      </c>
      <c r="D255" s="1391">
        <v>3040.22</v>
      </c>
      <c r="E255" s="1391">
        <v>1.0066056679915218</v>
      </c>
      <c r="F255" s="1391">
        <v>23.204160944200883</v>
      </c>
      <c r="K255" s="1475">
        <v>42312</v>
      </c>
      <c r="L255" s="1476" t="s">
        <v>2127</v>
      </c>
      <c r="M255" s="1477">
        <v>5.2531000000000001E-2</v>
      </c>
      <c r="N255" s="1478">
        <v>1.0898972643575837</v>
      </c>
      <c r="O255" s="1478">
        <v>1.0898972643575837</v>
      </c>
    </row>
    <row r="256" spans="2:15">
      <c r="B256" s="1390">
        <v>40210</v>
      </c>
      <c r="C256" s="1391">
        <v>411.84300000000002</v>
      </c>
      <c r="D256" s="1391">
        <v>3063.93</v>
      </c>
      <c r="E256" s="1391">
        <v>1.0059434772325486</v>
      </c>
      <c r="F256" s="1391">
        <v>23.342074346473133</v>
      </c>
      <c r="K256" s="1475">
        <v>42313</v>
      </c>
      <c r="L256" s="1476" t="s">
        <v>2127</v>
      </c>
      <c r="M256" s="1477">
        <v>5.2531000000000001E-2</v>
      </c>
      <c r="N256" s="1478">
        <v>1.0904697982895235</v>
      </c>
      <c r="O256" s="1478">
        <v>1.0904697982895235</v>
      </c>
    </row>
    <row r="257" spans="2:15">
      <c r="B257" s="1390">
        <v>40238</v>
      </c>
      <c r="C257" s="1391">
        <v>415.73399999999998</v>
      </c>
      <c r="D257" s="1391">
        <v>3079.86</v>
      </c>
      <c r="E257" s="1391">
        <v>1.0076007032666325</v>
      </c>
      <c r="F257" s="1391">
        <v>23.519490527208351</v>
      </c>
      <c r="K257" s="1475">
        <v>42314</v>
      </c>
      <c r="L257" s="1476" t="s">
        <v>2127</v>
      </c>
      <c r="M257" s="1477">
        <v>5.2531000000000001E-2</v>
      </c>
      <c r="N257" s="1478">
        <v>1.0910426329792631</v>
      </c>
      <c r="O257" s="1478">
        <v>1.0910426329792631</v>
      </c>
    </row>
    <row r="258" spans="2:15">
      <c r="B258" s="1390">
        <v>40269</v>
      </c>
      <c r="C258" s="1391">
        <v>418.91699999999997</v>
      </c>
      <c r="D258" s="1391">
        <v>3097.42</v>
      </c>
      <c r="E258" s="1391">
        <v>1.0066591320264642</v>
      </c>
      <c r="F258" s="1391">
        <v>23.676109919824206</v>
      </c>
      <c r="K258" s="1475">
        <v>42315</v>
      </c>
      <c r="L258" s="1476"/>
      <c r="M258" s="1477">
        <v>0</v>
      </c>
      <c r="N258" s="1478">
        <v>1.0910426329792631</v>
      </c>
      <c r="O258" s="1478">
        <v>1.0910426329792631</v>
      </c>
    </row>
    <row r="259" spans="2:15">
      <c r="B259" s="1390">
        <v>40299</v>
      </c>
      <c r="C259" s="1391">
        <v>423.88499999999999</v>
      </c>
      <c r="D259" s="1391">
        <v>3110.74</v>
      </c>
      <c r="E259" s="1391">
        <v>1.0075136425194853</v>
      </c>
      <c r="F259" s="1391">
        <v>23.854003746013806</v>
      </c>
      <c r="K259" s="1475">
        <v>42316</v>
      </c>
      <c r="L259" s="1476"/>
      <c r="M259" s="1477">
        <v>0</v>
      </c>
      <c r="N259" s="1478">
        <v>1.0910426329792631</v>
      </c>
      <c r="O259" s="1478">
        <v>1.0910426329792631</v>
      </c>
    </row>
    <row r="260" spans="2:15">
      <c r="B260" s="1390">
        <v>40330</v>
      </c>
      <c r="C260" s="1391">
        <v>427.48899999999998</v>
      </c>
      <c r="D260" s="1391">
        <v>3110.74</v>
      </c>
      <c r="E260" s="1391">
        <v>1.0079257581819461</v>
      </c>
      <c r="F260" s="1391">
        <v>24.043064811375949</v>
      </c>
      <c r="K260" s="1475">
        <v>42317</v>
      </c>
      <c r="L260" s="1476" t="s">
        <v>2127</v>
      </c>
      <c r="M260" s="1477">
        <v>5.2531000000000001E-2</v>
      </c>
      <c r="N260" s="1478">
        <v>1.0916157685847934</v>
      </c>
      <c r="O260" s="1478">
        <v>1.0916157685847934</v>
      </c>
    </row>
    <row r="261" spans="2:15">
      <c r="B261" s="1390">
        <v>40360</v>
      </c>
      <c r="C261" s="1391">
        <v>428.15</v>
      </c>
      <c r="D261" s="1391">
        <v>3111.05</v>
      </c>
      <c r="E261" s="1391">
        <v>1.0086102956499179</v>
      </c>
      <c r="F261" s="1391">
        <v>24.250082707732034</v>
      </c>
      <c r="K261" s="1475">
        <v>42318</v>
      </c>
      <c r="L261" s="1476" t="s">
        <v>2127</v>
      </c>
      <c r="M261" s="1477">
        <v>5.2531000000000001E-2</v>
      </c>
      <c r="N261" s="1478">
        <v>1.0921892052641886</v>
      </c>
      <c r="O261" s="1478">
        <v>1.0921892052641886</v>
      </c>
    </row>
    <row r="262" spans="2:15">
      <c r="B262" s="1390">
        <v>40391</v>
      </c>
      <c r="C262" s="1391">
        <v>431.44499999999999</v>
      </c>
      <c r="D262" s="1391">
        <v>3112.29</v>
      </c>
      <c r="E262" s="1391">
        <v>1.0088820963555043</v>
      </c>
      <c r="F262" s="1391">
        <v>24.465474278971058</v>
      </c>
      <c r="K262" s="1475">
        <v>42319</v>
      </c>
      <c r="L262" s="1476" t="s">
        <v>2127</v>
      </c>
      <c r="M262" s="1477">
        <v>5.2531000000000001E-2</v>
      </c>
      <c r="N262" s="1478">
        <v>1.0927629431756058</v>
      </c>
      <c r="O262" s="1478">
        <v>1.0927629431756058</v>
      </c>
    </row>
    <row r="263" spans="2:15">
      <c r="B263" s="1390">
        <v>40422</v>
      </c>
      <c r="C263" s="1391">
        <v>436.423</v>
      </c>
      <c r="D263" s="1391">
        <v>3126.29</v>
      </c>
      <c r="E263" s="1391">
        <v>1.0084766584844942</v>
      </c>
      <c r="F263" s="1391">
        <v>24.672859749095071</v>
      </c>
      <c r="K263" s="1475">
        <v>42320</v>
      </c>
      <c r="L263" s="1476" t="s">
        <v>2127</v>
      </c>
      <c r="M263" s="1477">
        <v>5.2531000000000001E-2</v>
      </c>
      <c r="N263" s="1478">
        <v>1.0933369824772854</v>
      </c>
      <c r="O263" s="1478">
        <v>1.0933369824772854</v>
      </c>
    </row>
    <row r="264" spans="2:15">
      <c r="B264" s="1390">
        <v>40452</v>
      </c>
      <c r="C264" s="1391">
        <v>440.82900000000001</v>
      </c>
      <c r="D264" s="1391">
        <v>3149.74</v>
      </c>
      <c r="E264" s="1391">
        <v>1.0080713835461668</v>
      </c>
      <c r="F264" s="1391">
        <v>24.872003863310798</v>
      </c>
      <c r="K264" s="1475">
        <v>42321</v>
      </c>
      <c r="L264" s="1476" t="s">
        <v>2127</v>
      </c>
      <c r="M264" s="1477">
        <v>5.2531000000000001E-2</v>
      </c>
      <c r="N264" s="1478">
        <v>1.0939113233275506</v>
      </c>
      <c r="O264" s="1478">
        <v>1.0939113233275506</v>
      </c>
    </row>
    <row r="265" spans="2:15">
      <c r="B265" s="1390">
        <v>40483</v>
      </c>
      <c r="C265" s="1391">
        <v>447.20600000000002</v>
      </c>
      <c r="D265" s="1391">
        <v>3175.88</v>
      </c>
      <c r="E265" s="1391">
        <v>1.008071383546167</v>
      </c>
      <c r="F265" s="1391">
        <v>25.072755346053327</v>
      </c>
      <c r="K265" s="1475">
        <v>42322</v>
      </c>
      <c r="L265" s="1476"/>
      <c r="M265" s="1477">
        <v>0</v>
      </c>
      <c r="N265" s="1478">
        <v>1.0939113233275506</v>
      </c>
      <c r="O265" s="1478">
        <v>1.0939113233275506</v>
      </c>
    </row>
    <row r="266" spans="2:15">
      <c r="B266" s="1390">
        <v>40513</v>
      </c>
      <c r="C266" s="1391">
        <v>450.30099999999999</v>
      </c>
      <c r="D266" s="1391">
        <v>3195.89</v>
      </c>
      <c r="E266" s="1391">
        <v>1.0092887868177591</v>
      </c>
      <c r="F266" s="1391">
        <v>25.305650825396647</v>
      </c>
      <c r="K266" s="1475">
        <v>42323</v>
      </c>
      <c r="L266" s="1476"/>
      <c r="M266" s="1477">
        <v>0</v>
      </c>
      <c r="N266" s="1478">
        <v>1.0939113233275506</v>
      </c>
      <c r="O266" s="1478">
        <v>1.0939113233275506</v>
      </c>
    </row>
    <row r="267" spans="2:15">
      <c r="B267" s="1390">
        <v>40544</v>
      </c>
      <c r="C267" s="1391">
        <v>453.875</v>
      </c>
      <c r="D267" s="1391">
        <v>3222.42</v>
      </c>
      <c r="E267" s="1391">
        <v>1.0086232010755674</v>
      </c>
      <c r="F267" s="1391">
        <v>25.52386654081214</v>
      </c>
      <c r="K267" s="1475">
        <v>42324</v>
      </c>
      <c r="L267" s="1476" t="s">
        <v>2127</v>
      </c>
      <c r="M267" s="1477">
        <v>5.2531000000000001E-2</v>
      </c>
      <c r="N267" s="1478">
        <v>1.0944859658848078</v>
      </c>
      <c r="O267" s="1478">
        <v>1.0944859658848078</v>
      </c>
    </row>
    <row r="268" spans="2:15">
      <c r="B268" s="1390">
        <v>40575</v>
      </c>
      <c r="C268" s="1391">
        <v>458.39699999999999</v>
      </c>
      <c r="D268" s="1391">
        <v>3248.2</v>
      </c>
      <c r="E268" s="1391">
        <v>1.0084390842010735</v>
      </c>
      <c r="F268" s="1391">
        <v>25.739264599687019</v>
      </c>
      <c r="K268" s="1475">
        <v>42325</v>
      </c>
      <c r="L268" s="1476" t="s">
        <v>2127</v>
      </c>
      <c r="M268" s="1477">
        <v>5.2531000000000001E-2</v>
      </c>
      <c r="N268" s="1478">
        <v>1.0950609103075468</v>
      </c>
      <c r="O268" s="1478">
        <v>1.0950609103075468</v>
      </c>
    </row>
    <row r="269" spans="2:15">
      <c r="B269" s="1390">
        <v>40603</v>
      </c>
      <c r="C269" s="1391">
        <v>461.24900000000002</v>
      </c>
      <c r="D269" s="1391">
        <v>3273.86</v>
      </c>
      <c r="E269" s="1391">
        <v>1.0092045846073012</v>
      </c>
      <c r="F269" s="1391">
        <v>25.97618383842455</v>
      </c>
      <c r="K269" s="1475">
        <v>42326</v>
      </c>
      <c r="L269" s="1476" t="s">
        <v>2127</v>
      </c>
      <c r="M269" s="1477">
        <v>5.2531000000000001E-2</v>
      </c>
      <c r="N269" s="1478">
        <v>1.0956361567543405</v>
      </c>
      <c r="O269" s="1478">
        <v>1.0956361567543405</v>
      </c>
    </row>
    <row r="270" spans="2:15">
      <c r="B270" s="1390">
        <v>40634</v>
      </c>
      <c r="C270" s="1391">
        <v>463.31099999999998</v>
      </c>
      <c r="D270" s="1391">
        <v>3299.07</v>
      </c>
      <c r="E270" s="1391">
        <v>1.0084015541577225</v>
      </c>
      <c r="F270" s="1391">
        <v>26.194424153754028</v>
      </c>
      <c r="K270" s="1475">
        <v>42327</v>
      </c>
      <c r="L270" s="1476" t="s">
        <v>2127</v>
      </c>
      <c r="M270" s="1477">
        <v>5.2531000000000001E-2</v>
      </c>
      <c r="N270" s="1478">
        <v>1.0962117053838452</v>
      </c>
      <c r="O270" s="1478">
        <v>1.0962117053838452</v>
      </c>
    </row>
    <row r="271" spans="2:15">
      <c r="B271" s="1390">
        <v>40664</v>
      </c>
      <c r="C271" s="1391">
        <v>465.31099999999998</v>
      </c>
      <c r="D271" s="1391">
        <v>3314.58</v>
      </c>
      <c r="E271" s="1391">
        <v>1.0098798495673293</v>
      </c>
      <c r="F271" s="1391">
        <v>26.453221123895936</v>
      </c>
      <c r="K271" s="1475">
        <v>42328</v>
      </c>
      <c r="L271" s="1476" t="s">
        <v>2127</v>
      </c>
      <c r="M271" s="1477">
        <v>5.2531000000000001E-2</v>
      </c>
      <c r="N271" s="1478">
        <v>1.0967875563548004</v>
      </c>
      <c r="O271" s="1478">
        <v>1.0967875563548004</v>
      </c>
    </row>
    <row r="272" spans="2:15">
      <c r="B272" s="1390">
        <v>40695</v>
      </c>
      <c r="C272" s="1391">
        <v>464.46300000000002</v>
      </c>
      <c r="D272" s="1391">
        <v>3319.55</v>
      </c>
      <c r="E272" s="1391">
        <v>1.0095627565914342</v>
      </c>
      <c r="F272" s="1391">
        <v>26.706186838563141</v>
      </c>
      <c r="K272" s="1475">
        <v>42329</v>
      </c>
      <c r="L272" s="1476"/>
      <c r="M272" s="1477">
        <v>0</v>
      </c>
      <c r="N272" s="1478">
        <v>1.0967875563548004</v>
      </c>
      <c r="O272" s="1478">
        <v>1.0967875563548004</v>
      </c>
    </row>
    <row r="273" spans="2:15">
      <c r="B273" s="1390">
        <v>40725</v>
      </c>
      <c r="C273" s="1391">
        <v>463.92700000000002</v>
      </c>
      <c r="D273" s="1391">
        <v>3324.86</v>
      </c>
      <c r="E273" s="1391">
        <v>1.0096788504099796</v>
      </c>
      <c r="F273" s="1391">
        <v>26.96467202599456</v>
      </c>
      <c r="K273" s="1475">
        <v>42330</v>
      </c>
      <c r="L273" s="1476"/>
      <c r="M273" s="1477">
        <v>0</v>
      </c>
      <c r="N273" s="1478">
        <v>1.0967875563548004</v>
      </c>
      <c r="O273" s="1478">
        <v>1.0967875563548004</v>
      </c>
    </row>
    <row r="274" spans="2:15">
      <c r="B274" s="1390">
        <v>40756</v>
      </c>
      <c r="C274" s="1391">
        <v>465.96800000000002</v>
      </c>
      <c r="D274" s="1391">
        <v>3337.16</v>
      </c>
      <c r="E274" s="1391">
        <v>1.0107406292787873</v>
      </c>
      <c r="F274" s="1391">
        <v>27.254289571849853</v>
      </c>
      <c r="K274" s="1475">
        <v>42331</v>
      </c>
      <c r="L274" s="1476" t="s">
        <v>2127</v>
      </c>
      <c r="M274" s="1477">
        <v>5.2531000000000001E-2</v>
      </c>
      <c r="N274" s="1478">
        <v>1.0973637098260292</v>
      </c>
      <c r="O274" s="1478">
        <v>1.0973637098260292</v>
      </c>
    </row>
    <row r="275" spans="2:15">
      <c r="B275" s="1390">
        <v>40787</v>
      </c>
      <c r="C275" s="1391">
        <v>468.97500000000002</v>
      </c>
      <c r="D275" s="1391">
        <v>3354.85</v>
      </c>
      <c r="E275" s="1391">
        <v>1.00941760689889</v>
      </c>
      <c r="F275" s="1391">
        <v>27.510959757346054</v>
      </c>
      <c r="K275" s="1475">
        <v>42332</v>
      </c>
      <c r="L275" s="1476" t="s">
        <v>2127</v>
      </c>
      <c r="M275" s="1477">
        <v>5.2531000000000001E-2</v>
      </c>
      <c r="N275" s="1478">
        <v>1.0979401659564378</v>
      </c>
      <c r="O275" s="1478">
        <v>1.0979401659564378</v>
      </c>
    </row>
    <row r="276" spans="2:15">
      <c r="B276" s="1390">
        <v>40817</v>
      </c>
      <c r="C276" s="1391">
        <v>471.46600000000001</v>
      </c>
      <c r="D276" s="1391">
        <v>3369.28</v>
      </c>
      <c r="E276" s="1391">
        <v>1.0088195463919019</v>
      </c>
      <c r="F276" s="1391">
        <v>27.753593943211712</v>
      </c>
      <c r="K276" s="1475">
        <v>42333</v>
      </c>
      <c r="L276" s="1476" t="s">
        <v>2127</v>
      </c>
      <c r="M276" s="1477">
        <v>5.2531000000000001E-2</v>
      </c>
      <c r="N276" s="1478">
        <v>1.0985169249050164</v>
      </c>
      <c r="O276" s="1478">
        <v>1.0985169249050164</v>
      </c>
    </row>
    <row r="277" spans="2:15">
      <c r="B277" s="1390">
        <v>40848</v>
      </c>
      <c r="C277" s="1391">
        <v>473.80799999999999</v>
      </c>
      <c r="D277" s="1391">
        <v>3386.8</v>
      </c>
      <c r="E277" s="1391">
        <v>1.0086047745492386</v>
      </c>
      <c r="F277" s="1391">
        <v>27.992407362024164</v>
      </c>
      <c r="K277" s="1475">
        <v>42334</v>
      </c>
      <c r="L277" s="1476" t="s">
        <v>2127</v>
      </c>
      <c r="M277" s="1477">
        <v>5.2531000000000001E-2</v>
      </c>
      <c r="N277" s="1478">
        <v>1.0990939868308383</v>
      </c>
      <c r="O277" s="1478">
        <v>1.0990939868308383</v>
      </c>
    </row>
    <row r="278" spans="2:15">
      <c r="B278" s="1390">
        <v>40878</v>
      </c>
      <c r="C278" s="1391">
        <v>473.25200000000001</v>
      </c>
      <c r="D278" s="1391">
        <v>3403.73</v>
      </c>
      <c r="E278" s="1391">
        <v>1.0090732804800764</v>
      </c>
      <c r="F278" s="1391">
        <v>28.246390325332364</v>
      </c>
      <c r="K278" s="1475">
        <v>42335</v>
      </c>
      <c r="L278" s="1476" t="s">
        <v>2127</v>
      </c>
      <c r="M278" s="1477">
        <v>5.2531000000000001E-2</v>
      </c>
      <c r="N278" s="1478">
        <v>1.0996713518930603</v>
      </c>
      <c r="O278" s="1478">
        <v>1.0996713518930603</v>
      </c>
    </row>
    <row r="279" spans="2:15">
      <c r="B279" s="1390">
        <v>40909</v>
      </c>
      <c r="C279" s="1391">
        <v>474.42899999999997</v>
      </c>
      <c r="D279" s="1391">
        <v>3422.79</v>
      </c>
      <c r="E279" s="1391">
        <v>1.0089101617717657</v>
      </c>
      <c r="F279" s="1391">
        <v>28.498070232599513</v>
      </c>
      <c r="K279" s="1475">
        <v>42336</v>
      </c>
      <c r="L279" s="1476"/>
      <c r="M279" s="1477">
        <v>0</v>
      </c>
      <c r="N279" s="1478">
        <v>1.0996713518930603</v>
      </c>
      <c r="O279" s="1478">
        <v>1.0996713518930603</v>
      </c>
    </row>
    <row r="280" spans="2:15">
      <c r="B280" s="1390">
        <v>40940</v>
      </c>
      <c r="C280" s="1391">
        <v>474.13799999999998</v>
      </c>
      <c r="D280" s="1391">
        <v>3438.19</v>
      </c>
      <c r="E280" s="1391">
        <v>1.0074877292470876</v>
      </c>
      <c r="F280" s="1391">
        <v>28.711456066565706</v>
      </c>
      <c r="K280" s="1475">
        <v>42337</v>
      </c>
      <c r="L280" s="1476"/>
      <c r="M280" s="1477">
        <v>0</v>
      </c>
      <c r="N280" s="1478">
        <v>1.0996713518930603</v>
      </c>
      <c r="O280" s="1478">
        <v>1.0996713518930603</v>
      </c>
    </row>
    <row r="281" spans="2:15">
      <c r="B281" s="1390">
        <v>40969</v>
      </c>
      <c r="C281" s="1391">
        <v>476.166</v>
      </c>
      <c r="D281" s="1391">
        <v>3445.41</v>
      </c>
      <c r="E281" s="1391">
        <v>1.0082113884808406</v>
      </c>
      <c r="F281" s="1391">
        <v>28.947216986178862</v>
      </c>
      <c r="K281" s="1475">
        <v>42338</v>
      </c>
      <c r="L281" s="1476" t="s">
        <v>2127</v>
      </c>
      <c r="M281" s="1477">
        <v>5.2531000000000001E-2</v>
      </c>
      <c r="N281" s="1478">
        <v>1.1002490202509232</v>
      </c>
      <c r="O281" s="1478">
        <v>1.1002490202509232</v>
      </c>
    </row>
    <row r="282" spans="2:15">
      <c r="B282" s="1390">
        <v>41000</v>
      </c>
      <c r="C282" s="1391">
        <v>480.22899999999998</v>
      </c>
      <c r="D282" s="1391">
        <v>3467.46</v>
      </c>
      <c r="E282" s="1391">
        <v>1.0071187588624242</v>
      </c>
      <c r="F282" s="1391">
        <v>29.15328524364174</v>
      </c>
      <c r="K282" s="1475">
        <v>42339</v>
      </c>
      <c r="L282" s="1476" t="s">
        <v>2127</v>
      </c>
      <c r="M282" s="1477">
        <v>5.2531000000000001E-2</v>
      </c>
      <c r="N282" s="1478">
        <v>1.1008269920637512</v>
      </c>
      <c r="O282" s="1478">
        <v>1.1008269920637512</v>
      </c>
    </row>
    <row r="283" spans="2:15">
      <c r="B283" s="1390">
        <v>41030</v>
      </c>
      <c r="C283" s="1391">
        <v>485.14</v>
      </c>
      <c r="D283" s="1391">
        <v>3479.94</v>
      </c>
      <c r="E283" s="1391">
        <v>1.007447242329657</v>
      </c>
      <c r="F283" s="1391">
        <v>29.370396823556753</v>
      </c>
      <c r="G283" s="11"/>
      <c r="K283" s="1475">
        <v>42340</v>
      </c>
      <c r="L283" s="1476" t="s">
        <v>2127</v>
      </c>
      <c r="M283" s="1477">
        <v>5.2531000000000001E-2</v>
      </c>
      <c r="N283" s="1478">
        <v>1.1014052674909522</v>
      </c>
      <c r="O283" s="1478">
        <v>1.1014052674909522</v>
      </c>
    </row>
    <row r="284" spans="2:15">
      <c r="B284" s="1390">
        <v>41061</v>
      </c>
      <c r="C284" s="1391">
        <v>488.34199999999998</v>
      </c>
      <c r="D284" s="1391">
        <v>3482.72</v>
      </c>
      <c r="E284" s="1391">
        <v>1.0064150263426446</v>
      </c>
      <c r="F284" s="1391">
        <v>29.558808692873793</v>
      </c>
      <c r="K284" s="1475">
        <v>42341</v>
      </c>
      <c r="L284" s="1476" t="s">
        <v>2127</v>
      </c>
      <c r="M284" s="1477">
        <v>5.2531000000000001E-2</v>
      </c>
      <c r="N284" s="1478">
        <v>1.101983846692018</v>
      </c>
      <c r="O284" s="1478">
        <v>1.101983846692018</v>
      </c>
    </row>
    <row r="285" spans="2:15">
      <c r="B285" s="1390">
        <v>41091</v>
      </c>
      <c r="C285" s="1391">
        <v>494.89100000000002</v>
      </c>
      <c r="D285" s="1391">
        <v>3497.7</v>
      </c>
      <c r="E285" s="1391">
        <v>1.0067996486835762</v>
      </c>
      <c r="F285" s="1391">
        <v>29.759798207490373</v>
      </c>
      <c r="K285" s="1475">
        <v>42342</v>
      </c>
      <c r="L285" s="1476" t="s">
        <v>2127</v>
      </c>
      <c r="M285" s="1477">
        <v>5.2531000000000001E-2</v>
      </c>
      <c r="N285" s="1478">
        <v>1.1025627298265237</v>
      </c>
      <c r="O285" s="1478">
        <v>1.1025627298265237</v>
      </c>
    </row>
    <row r="286" spans="2:15">
      <c r="B286" s="1390">
        <v>41122</v>
      </c>
      <c r="C286" s="1391">
        <v>501.95699999999999</v>
      </c>
      <c r="D286" s="1391">
        <v>3512.04</v>
      </c>
      <c r="E286" s="1391">
        <v>1.0069181066014252</v>
      </c>
      <c r="F286" s="1391">
        <v>29.965679663926696</v>
      </c>
      <c r="K286" s="1475">
        <v>42343</v>
      </c>
      <c r="L286" s="1476"/>
      <c r="M286" s="1477">
        <v>0</v>
      </c>
      <c r="N286" s="1478">
        <v>1.1025627298265237</v>
      </c>
      <c r="O286" s="1478">
        <v>1.1025627298265237</v>
      </c>
    </row>
    <row r="287" spans="2:15">
      <c r="B287" s="1390">
        <v>41153</v>
      </c>
      <c r="C287" s="1391">
        <v>506.80399999999997</v>
      </c>
      <c r="D287" s="1391">
        <v>3532.06</v>
      </c>
      <c r="E287" s="1391">
        <v>1.0053899533259578</v>
      </c>
      <c r="F287" s="1391">
        <v>30.127193278695866</v>
      </c>
      <c r="K287" s="1475">
        <v>42344</v>
      </c>
      <c r="L287" s="1476"/>
      <c r="M287" s="1477">
        <v>0</v>
      </c>
      <c r="N287" s="1478">
        <v>1.1025627298265237</v>
      </c>
      <c r="O287" s="1478">
        <v>1.1025627298265237</v>
      </c>
    </row>
    <row r="288" spans="2:15">
      <c r="B288" s="1390">
        <v>41183</v>
      </c>
      <c r="C288" s="1391">
        <v>506.92599999999999</v>
      </c>
      <c r="D288" s="1391">
        <v>3552.9</v>
      </c>
      <c r="E288" s="1391">
        <v>1.0061133864051108</v>
      </c>
      <c r="F288" s="1391">
        <v>30.311372452509993</v>
      </c>
      <c r="K288" s="1475">
        <v>42345</v>
      </c>
      <c r="L288" s="1476" t="s">
        <v>2127</v>
      </c>
      <c r="M288" s="1477">
        <v>5.2531000000000001E-2</v>
      </c>
      <c r="N288" s="1478">
        <v>1.1031419170541288</v>
      </c>
      <c r="O288" s="1478">
        <v>1.1031419170541288</v>
      </c>
    </row>
    <row r="289" spans="2:15">
      <c r="B289" s="1390">
        <v>41214</v>
      </c>
      <c r="C289" s="1391">
        <v>506.79500000000002</v>
      </c>
      <c r="D289" s="1391">
        <v>3574.22</v>
      </c>
      <c r="E289" s="1391">
        <v>1.0054884576647556</v>
      </c>
      <c r="F289" s="1391">
        <v>30.477735136976232</v>
      </c>
      <c r="K289" s="1475">
        <v>42346</v>
      </c>
      <c r="L289" s="1476" t="s">
        <v>2127</v>
      </c>
      <c r="M289" s="1477">
        <v>5.2531000000000001E-2</v>
      </c>
      <c r="N289" s="1478">
        <v>1.1037214085345766</v>
      </c>
      <c r="O289" s="1478">
        <v>1.1037214085345766</v>
      </c>
    </row>
    <row r="290" spans="2:15">
      <c r="B290" s="1390">
        <v>41244</v>
      </c>
      <c r="C290" s="1391">
        <v>510.25200000000001</v>
      </c>
      <c r="D290" s="1391">
        <v>3602.46</v>
      </c>
      <c r="E290" s="1391">
        <v>1.0055015154231364</v>
      </c>
      <c r="F290" s="1391">
        <v>30.645408866894574</v>
      </c>
      <c r="K290" s="1475">
        <v>42347</v>
      </c>
      <c r="L290" s="1476" t="s">
        <v>2127</v>
      </c>
      <c r="M290" s="1477">
        <v>5.2531000000000001E-2</v>
      </c>
      <c r="N290" s="1478">
        <v>1.1043012044276939</v>
      </c>
      <c r="O290" s="1478">
        <v>1.1043012044276939</v>
      </c>
    </row>
    <row r="291" spans="2:15">
      <c r="B291" s="1390">
        <v>41275</v>
      </c>
      <c r="C291" s="1391">
        <v>511.97699999999998</v>
      </c>
      <c r="D291" s="1391">
        <v>3633.44</v>
      </c>
      <c r="E291" s="1391">
        <v>1.0060143970219473</v>
      </c>
      <c r="F291" s="1391">
        <v>30.82972252271998</v>
      </c>
      <c r="K291" s="1475">
        <v>42348</v>
      </c>
      <c r="L291" s="1476" t="s">
        <v>2127</v>
      </c>
      <c r="M291" s="1477">
        <v>5.2531000000000001E-2</v>
      </c>
      <c r="N291" s="1478">
        <v>1.1048813048933919</v>
      </c>
      <c r="O291" s="1478">
        <v>1.1048813048933919</v>
      </c>
    </row>
    <row r="292" spans="2:15">
      <c r="B292" s="1390">
        <v>41306</v>
      </c>
      <c r="C292" s="1391">
        <v>513.46699999999998</v>
      </c>
      <c r="D292" s="1391">
        <v>3655.24</v>
      </c>
      <c r="E292" s="1391">
        <v>1.0049274991744226</v>
      </c>
      <c r="F292" s="1391">
        <v>30.98163595499836</v>
      </c>
      <c r="K292" s="1475">
        <v>42349</v>
      </c>
      <c r="L292" s="1476" t="s">
        <v>2127</v>
      </c>
      <c r="M292" s="1477">
        <v>5.2531000000000001E-2</v>
      </c>
      <c r="N292" s="1478">
        <v>1.1054617100916655</v>
      </c>
      <c r="O292" s="1478">
        <v>1.1054617100916655</v>
      </c>
    </row>
    <row r="293" spans="2:15">
      <c r="B293" s="1390">
        <v>41334</v>
      </c>
      <c r="C293" s="1391">
        <v>514.52599999999995</v>
      </c>
      <c r="D293" s="1391">
        <v>3672.42</v>
      </c>
      <c r="E293" s="1391">
        <v>1.0054940366101026</v>
      </c>
      <c r="F293" s="1391">
        <v>31.151850197175992</v>
      </c>
      <c r="K293" s="1475">
        <v>42350</v>
      </c>
      <c r="L293" s="1476"/>
      <c r="M293" s="1477">
        <v>0</v>
      </c>
      <c r="N293" s="1478">
        <v>1.1054617100916655</v>
      </c>
      <c r="O293" s="1478">
        <v>1.1054617100916655</v>
      </c>
    </row>
    <row r="294" spans="2:15">
      <c r="B294" s="1390">
        <v>41365</v>
      </c>
      <c r="C294" s="1391">
        <v>515.27599999999995</v>
      </c>
      <c r="D294" s="1391">
        <v>3692.62</v>
      </c>
      <c r="E294" s="1391">
        <v>1.0061364605097283</v>
      </c>
      <c r="F294" s="1391">
        <v>31.343012295715933</v>
      </c>
      <c r="K294" s="1475">
        <v>42351</v>
      </c>
      <c r="L294" s="1476"/>
      <c r="M294" s="1477">
        <v>0</v>
      </c>
      <c r="N294" s="1478">
        <v>1.1054617100916655</v>
      </c>
      <c r="O294" s="1478">
        <v>1.1054617100916655</v>
      </c>
    </row>
    <row r="295" spans="2:15">
      <c r="B295" s="1390">
        <v>41395</v>
      </c>
      <c r="C295" s="1391">
        <v>515.29899999999998</v>
      </c>
      <c r="D295" s="1391">
        <v>3706.28</v>
      </c>
      <c r="E295" s="1391">
        <v>1.0059853629993882</v>
      </c>
      <c r="F295" s="1391">
        <v>31.530611601800082</v>
      </c>
      <c r="K295" s="1475">
        <v>42352</v>
      </c>
      <c r="L295" s="1476" t="s">
        <v>2127</v>
      </c>
      <c r="M295" s="1477">
        <v>5.2531000000000001E-2</v>
      </c>
      <c r="N295" s="1478">
        <v>1.1060424201825938</v>
      </c>
      <c r="O295" s="1478">
        <v>1.1060424201825938</v>
      </c>
    </row>
    <row r="296" spans="2:15">
      <c r="B296" s="1390">
        <v>41426</v>
      </c>
      <c r="C296" s="1391">
        <v>519.15300000000002</v>
      </c>
      <c r="D296" s="1391">
        <v>3715.92</v>
      </c>
      <c r="E296" s="1391">
        <v>1.0060527337434972</v>
      </c>
      <c r="F296" s="1391">
        <v>31.721457998595405</v>
      </c>
      <c r="G296" s="66"/>
      <c r="K296" s="1475">
        <v>42353</v>
      </c>
      <c r="L296" s="1476" t="s">
        <v>2127</v>
      </c>
      <c r="M296" s="1477">
        <v>5.2531000000000001E-2</v>
      </c>
      <c r="N296" s="1478">
        <v>1.10662343532634</v>
      </c>
      <c r="O296" s="1478">
        <v>1.10662343532634</v>
      </c>
    </row>
    <row r="297" spans="2:15">
      <c r="B297" s="1390">
        <v>41456</v>
      </c>
      <c r="C297" s="1391">
        <v>520.50800000000004</v>
      </c>
      <c r="D297" s="1391">
        <v>3717.03</v>
      </c>
      <c r="E297" s="1391">
        <v>1.0072409169740031</v>
      </c>
      <c r="F297" s="1391">
        <v>31.951150442257561</v>
      </c>
      <c r="K297" s="1475">
        <v>42354</v>
      </c>
      <c r="L297" s="1476" t="s">
        <v>2127</v>
      </c>
      <c r="M297" s="1477">
        <v>5.2531000000000001E-2</v>
      </c>
      <c r="N297" s="1478">
        <v>1.1072047556831512</v>
      </c>
      <c r="O297" s="1478">
        <v>1.1072047556831512</v>
      </c>
    </row>
    <row r="298" spans="2:15">
      <c r="B298" s="1390">
        <v>41487</v>
      </c>
      <c r="C298" s="1391">
        <v>521.27</v>
      </c>
      <c r="D298" s="1391">
        <v>3725.95</v>
      </c>
      <c r="E298" s="1391">
        <v>1.0071031495053051</v>
      </c>
      <c r="F298" s="1391">
        <v>32.178104240715413</v>
      </c>
      <c r="K298" s="1475">
        <v>42355</v>
      </c>
      <c r="L298" s="1476" t="s">
        <v>2127</v>
      </c>
      <c r="M298" s="1477">
        <v>5.2531000000000001E-2</v>
      </c>
      <c r="N298" s="1478">
        <v>1.1077863814133591</v>
      </c>
      <c r="O298" s="1478">
        <v>1.1077863814133591</v>
      </c>
    </row>
    <row r="299" spans="2:15">
      <c r="B299" s="1390">
        <v>41518</v>
      </c>
      <c r="C299" s="1391">
        <v>529.08500000000004</v>
      </c>
      <c r="D299" s="1391">
        <v>3738.99</v>
      </c>
      <c r="E299" s="1391">
        <v>1.0071302882501354</v>
      </c>
      <c r="F299" s="1391">
        <v>32.407543399294617</v>
      </c>
      <c r="K299" s="1475">
        <v>42356</v>
      </c>
      <c r="L299" s="1476" t="s">
        <v>2127</v>
      </c>
      <c r="M299" s="1477">
        <v>5.2531000000000001E-2</v>
      </c>
      <c r="N299" s="1478">
        <v>1.1083683126773793</v>
      </c>
      <c r="O299" s="1478">
        <v>1.1083683126773793</v>
      </c>
    </row>
    <row r="300" spans="2:15">
      <c r="B300" s="1390">
        <v>41548</v>
      </c>
      <c r="C300" s="1391">
        <v>533.62099999999998</v>
      </c>
      <c r="D300" s="1391">
        <v>3760.3</v>
      </c>
      <c r="E300" s="1391">
        <v>1.0081051023495244</v>
      </c>
      <c r="F300" s="1391">
        <v>32.670209855442558</v>
      </c>
      <c r="G300" s="67"/>
      <c r="K300" s="1475">
        <v>42357</v>
      </c>
      <c r="L300" s="1476"/>
      <c r="M300" s="1477">
        <v>0</v>
      </c>
      <c r="N300" s="1478">
        <v>1.1083683126773793</v>
      </c>
      <c r="O300" s="1478">
        <v>1.1083683126773793</v>
      </c>
    </row>
    <row r="301" spans="2:15">
      <c r="B301" s="1390">
        <v>41579</v>
      </c>
      <c r="C301" s="1391">
        <v>535.16800000000001</v>
      </c>
      <c r="D301" s="1391">
        <v>3780.61</v>
      </c>
      <c r="E301" s="1391">
        <v>1.0071920752752215</v>
      </c>
      <c r="F301" s="1391">
        <v>32.905176463980183</v>
      </c>
      <c r="G301" s="67"/>
      <c r="K301" s="1475">
        <v>42358</v>
      </c>
      <c r="L301" s="1476"/>
      <c r="M301" s="1477">
        <v>0</v>
      </c>
      <c r="N301" s="1478">
        <v>1.1083683126773793</v>
      </c>
      <c r="O301" s="1478">
        <v>1.1083683126773793</v>
      </c>
    </row>
    <row r="302" spans="2:15">
      <c r="B302" s="1390">
        <v>41609</v>
      </c>
      <c r="C302" s="1391">
        <v>538.37</v>
      </c>
      <c r="D302" s="1391">
        <v>3815.39</v>
      </c>
      <c r="E302" s="1391">
        <v>1.0078974581644051</v>
      </c>
      <c r="F302" s="1391">
        <v>33.165043718496833</v>
      </c>
      <c r="G302" s="66"/>
      <c r="K302" s="1475">
        <v>42359</v>
      </c>
      <c r="L302" s="1476" t="s">
        <v>2127</v>
      </c>
      <c r="M302" s="1477">
        <v>5.2531000000000001E-2</v>
      </c>
      <c r="N302" s="1478">
        <v>1.1089505496357119</v>
      </c>
      <c r="O302" s="1478">
        <v>1.1089505496357119</v>
      </c>
    </row>
    <row r="303" spans="2:15">
      <c r="B303" s="1390">
        <v>41640</v>
      </c>
      <c r="C303" s="1391">
        <v>540.95899999999995</v>
      </c>
      <c r="D303" s="1391">
        <v>3836.38</v>
      </c>
      <c r="E303" s="1391">
        <v>1.0084934395272054</v>
      </c>
      <c r="F303" s="1391">
        <v>33.446729011737006</v>
      </c>
      <c r="K303" s="1475">
        <v>42360</v>
      </c>
      <c r="L303" s="1476" t="s">
        <v>2127</v>
      </c>
      <c r="M303" s="1477">
        <v>5.2531000000000001E-2</v>
      </c>
      <c r="N303" s="1478">
        <v>1.109533092448941</v>
      </c>
      <c r="O303" s="1478">
        <v>1.109533092448941</v>
      </c>
    </row>
    <row r="304" spans="2:15">
      <c r="B304" s="1390">
        <v>41671</v>
      </c>
      <c r="C304" s="1391">
        <v>543.03800000000001</v>
      </c>
      <c r="D304" s="1391">
        <v>3862.84</v>
      </c>
      <c r="E304" s="1391">
        <v>1.007901464239193</v>
      </c>
      <c r="F304" s="1391">
        <v>33.711007144941227</v>
      </c>
      <c r="K304" s="1475">
        <v>42361</v>
      </c>
      <c r="L304" s="1476" t="s">
        <v>2127</v>
      </c>
      <c r="M304" s="1477">
        <v>5.2531000000000001E-2</v>
      </c>
      <c r="N304" s="1478">
        <v>1.1101159412777355</v>
      </c>
      <c r="O304" s="1478">
        <v>1.1101159412777355</v>
      </c>
    </row>
    <row r="305" spans="2:15">
      <c r="B305" s="1390">
        <v>41699</v>
      </c>
      <c r="C305" s="1391">
        <v>552.08699999999999</v>
      </c>
      <c r="D305" s="1391">
        <v>3898.38</v>
      </c>
      <c r="E305" s="1391">
        <v>1.0076595732083427</v>
      </c>
      <c r="F305" s="1391">
        <v>33.969219072094866</v>
      </c>
      <c r="K305" s="1475">
        <v>42362</v>
      </c>
      <c r="L305" s="1476" t="s">
        <v>2127</v>
      </c>
      <c r="M305" s="1477">
        <v>5.2531000000000001E-2</v>
      </c>
      <c r="N305" s="1478">
        <v>1.110699096282848</v>
      </c>
      <c r="O305" s="1478">
        <v>1.110699096282848</v>
      </c>
    </row>
    <row r="306" spans="2:15">
      <c r="B306" s="1390">
        <v>41730</v>
      </c>
      <c r="C306" s="1391">
        <v>556.41999999999996</v>
      </c>
      <c r="D306" s="1391">
        <v>3924.5</v>
      </c>
      <c r="E306" s="1391">
        <v>1.0082266762081393</v>
      </c>
      <c r="F306" s="1391">
        <v>34.248672838444342</v>
      </c>
      <c r="K306" s="1475">
        <v>42363</v>
      </c>
      <c r="L306" s="1476"/>
      <c r="M306" s="1477">
        <v>0</v>
      </c>
      <c r="N306" s="1478">
        <v>1.110699096282848</v>
      </c>
      <c r="O306" s="1478">
        <v>1.110699096282848</v>
      </c>
    </row>
    <row r="307" spans="2:15">
      <c r="B307" s="1390">
        <v>41760</v>
      </c>
      <c r="C307" s="1391">
        <v>555.67899999999997</v>
      </c>
      <c r="D307" s="1391">
        <v>3942.55</v>
      </c>
      <c r="E307" s="1391">
        <v>1.0086587318278823</v>
      </c>
      <c r="F307" s="1391">
        <v>34.545222912013308</v>
      </c>
      <c r="K307" s="1475">
        <v>42364</v>
      </c>
      <c r="L307" s="1476"/>
      <c r="M307" s="1477">
        <v>0</v>
      </c>
      <c r="N307" s="1478">
        <v>1.110699096282848</v>
      </c>
      <c r="O307" s="1478">
        <v>1.110699096282848</v>
      </c>
    </row>
    <row r="308" spans="2:15">
      <c r="B308" s="1390">
        <v>41791</v>
      </c>
      <c r="C308" s="1391">
        <v>551.55399999999997</v>
      </c>
      <c r="D308" s="1391">
        <v>3958.32</v>
      </c>
      <c r="E308" s="1391">
        <v>1.0082447163000285</v>
      </c>
      <c r="F308" s="1391">
        <v>34.830038474444102</v>
      </c>
      <c r="K308" s="1475">
        <v>42365</v>
      </c>
      <c r="L308" s="1476"/>
      <c r="M308" s="1477">
        <v>0</v>
      </c>
      <c r="N308" s="1478">
        <v>1.110699096282848</v>
      </c>
      <c r="O308" s="1478">
        <v>1.110699096282848</v>
      </c>
    </row>
    <row r="309" spans="2:15">
      <c r="B309" s="1390">
        <v>41821</v>
      </c>
      <c r="C309" s="1391">
        <v>548.202</v>
      </c>
      <c r="D309" s="1391">
        <v>3958.72</v>
      </c>
      <c r="E309" s="1391">
        <v>1.0094872729749897</v>
      </c>
      <c r="F309" s="1391">
        <v>35.160480557180549</v>
      </c>
      <c r="K309" s="1475">
        <v>42366</v>
      </c>
      <c r="L309" s="1476" t="s">
        <v>2127</v>
      </c>
      <c r="M309" s="1477">
        <v>5.2531000000000001E-2</v>
      </c>
      <c r="N309" s="1478">
        <v>1.1112825576251164</v>
      </c>
      <c r="O309" s="1478">
        <v>1.1112825576251164</v>
      </c>
    </row>
    <row r="310" spans="2:15">
      <c r="B310" s="1390">
        <v>41852</v>
      </c>
      <c r="C310" s="1391">
        <v>546.745</v>
      </c>
      <c r="D310" s="1391">
        <v>3968.62</v>
      </c>
      <c r="E310" s="1391">
        <v>1.0086598207325679</v>
      </c>
      <c r="F310" s="1391">
        <v>35.464964015676671</v>
      </c>
      <c r="K310" s="1475">
        <v>42367</v>
      </c>
      <c r="L310" s="1476" t="s">
        <v>2127</v>
      </c>
      <c r="M310" s="1477">
        <v>5.2531000000000001E-2</v>
      </c>
      <c r="N310" s="1478">
        <v>1.1118663254654624</v>
      </c>
      <c r="O310" s="1478">
        <v>1.1118663254654624</v>
      </c>
    </row>
    <row r="311" spans="2:15">
      <c r="B311" s="1390">
        <v>41883</v>
      </c>
      <c r="C311" s="1391">
        <v>547.83900000000006</v>
      </c>
      <c r="D311" s="1391">
        <v>3991.24</v>
      </c>
      <c r="E311" s="1391">
        <v>1.0090729173629331</v>
      </c>
      <c r="F311" s="1391">
        <v>35.786734703470302</v>
      </c>
      <c r="K311" s="1475">
        <v>42368</v>
      </c>
      <c r="L311" s="1476" t="s">
        <v>2127</v>
      </c>
      <c r="M311" s="1477">
        <v>5.2531000000000001E-2</v>
      </c>
      <c r="N311" s="1478">
        <v>1.1124503999648927</v>
      </c>
      <c r="O311" s="1478">
        <v>1.1124503999648927</v>
      </c>
    </row>
    <row r="312" spans="2:15">
      <c r="B312" s="1390">
        <v>41913</v>
      </c>
      <c r="C312" s="1391">
        <v>549.39599999999996</v>
      </c>
      <c r="D312" s="1391">
        <v>4008</v>
      </c>
      <c r="E312" s="1391">
        <v>1.009505315279368</v>
      </c>
      <c r="F312" s="1391">
        <v>36.126898899645887</v>
      </c>
      <c r="K312" s="1475">
        <v>42369</v>
      </c>
      <c r="L312" s="1476" t="s">
        <v>2127</v>
      </c>
      <c r="M312" s="1477">
        <v>5.2531000000000001E-2</v>
      </c>
      <c r="N312" s="1478">
        <v>1.1130347812844983</v>
      </c>
      <c r="O312" s="1478">
        <v>1.1130347812844983</v>
      </c>
    </row>
    <row r="313" spans="2:15">
      <c r="B313" s="1390">
        <v>41944</v>
      </c>
      <c r="C313" s="1391">
        <v>554.76900000000001</v>
      </c>
      <c r="D313" s="1391">
        <v>4028.44</v>
      </c>
      <c r="E313" s="1391">
        <v>1.0084249317586502</v>
      </c>
      <c r="F313" s="1391">
        <v>36.431265557527063</v>
      </c>
      <c r="K313" s="1475">
        <v>42370</v>
      </c>
      <c r="L313" s="1476"/>
      <c r="M313" s="1477">
        <v>0</v>
      </c>
      <c r="N313" s="1478">
        <v>1.1130347812844983</v>
      </c>
      <c r="O313" s="1478">
        <v>1.1130347812844983</v>
      </c>
    </row>
    <row r="314" spans="2:15">
      <c r="B314" s="1390">
        <v>41974</v>
      </c>
      <c r="C314" s="1391">
        <v>558.21299999999997</v>
      </c>
      <c r="D314" s="1391">
        <v>4059.86</v>
      </c>
      <c r="E314" s="1391">
        <v>1.0096129495106978</v>
      </c>
      <c r="F314" s="1391">
        <v>36.781477473942395</v>
      </c>
      <c r="K314" s="1475">
        <v>42371</v>
      </c>
      <c r="L314" s="1476"/>
      <c r="M314" s="1477">
        <v>0</v>
      </c>
      <c r="N314" s="1478">
        <v>1.1130347812844983</v>
      </c>
      <c r="O314" s="1478">
        <v>1.1130347812844983</v>
      </c>
    </row>
    <row r="315" spans="2:15">
      <c r="B315" s="1390">
        <v>42005</v>
      </c>
      <c r="C315" s="1391">
        <v>562.48199999999997</v>
      </c>
      <c r="D315" s="1391">
        <v>4110.2</v>
      </c>
      <c r="E315" s="1391">
        <v>1.0093507541041149</v>
      </c>
      <c r="F315" s="1391">
        <v>37.12541202538727</v>
      </c>
      <c r="K315" s="1475">
        <v>42372</v>
      </c>
      <c r="L315" s="1476"/>
      <c r="M315" s="1477">
        <v>0</v>
      </c>
      <c r="N315" s="1478">
        <v>1.1130347812844983</v>
      </c>
      <c r="O315" s="1478">
        <v>1.1130347812844983</v>
      </c>
    </row>
    <row r="316" spans="2:15">
      <c r="B316" s="1390">
        <v>42036</v>
      </c>
      <c r="C316" s="1391">
        <v>564.00400000000002</v>
      </c>
      <c r="D316" s="1391">
        <v>4160.34</v>
      </c>
      <c r="E316" s="1391">
        <v>1.0082241099890967</v>
      </c>
      <c r="F316" s="1391">
        <v>37.43073549727459</v>
      </c>
      <c r="K316" s="1475">
        <v>42373</v>
      </c>
      <c r="L316" s="1476" t="s">
        <v>2127</v>
      </c>
      <c r="M316" s="1477">
        <v>5.2531000000000001E-2</v>
      </c>
      <c r="N316" s="1478">
        <v>1.1136194695854549</v>
      </c>
      <c r="O316" s="1478">
        <v>1.1136194695854549</v>
      </c>
    </row>
    <row r="317" spans="2:15">
      <c r="B317" s="1390">
        <v>42064</v>
      </c>
      <c r="C317" s="1391">
        <v>569.53599999999994</v>
      </c>
      <c r="D317" s="1391">
        <v>4215.26</v>
      </c>
      <c r="E317" s="1391">
        <v>1.0103996710699541</v>
      </c>
      <c r="F317" s="1391">
        <v>37.820002834352699</v>
      </c>
      <c r="K317" s="1475">
        <v>42374</v>
      </c>
      <c r="L317" s="1476" t="s">
        <v>2127</v>
      </c>
      <c r="M317" s="1477">
        <v>5.2531000000000001E-2</v>
      </c>
      <c r="N317" s="1478">
        <v>1.1142044650290228</v>
      </c>
      <c r="O317" s="1478">
        <v>1.1142044650290228</v>
      </c>
    </row>
    <row r="318" spans="2:15">
      <c r="B318" s="1390">
        <v>42095</v>
      </c>
      <c r="C318" s="1391">
        <v>576.17499999999995</v>
      </c>
      <c r="D318" s="1391">
        <v>4245.1899999999996</v>
      </c>
      <c r="E318" s="1391">
        <v>1.0095179160892187</v>
      </c>
      <c r="F318" s="1391">
        <v>38.179970447824083</v>
      </c>
      <c r="K318" s="1475">
        <v>42375</v>
      </c>
      <c r="L318" s="1476" t="s">
        <v>2127</v>
      </c>
      <c r="M318" s="1477">
        <v>5.2531000000000001E-2</v>
      </c>
      <c r="N318" s="1478">
        <v>1.1147897677765473</v>
      </c>
      <c r="O318" s="1478">
        <v>1.1147897677765473</v>
      </c>
    </row>
    <row r="319" spans="2:15">
      <c r="B319" s="1390">
        <v>42125</v>
      </c>
      <c r="C319" s="1391">
        <v>578.51599999999996</v>
      </c>
      <c r="D319" s="1391">
        <v>4276.6000000000004</v>
      </c>
      <c r="E319" s="1391">
        <v>1.0098532226245138</v>
      </c>
      <c r="F319" s="1391">
        <v>38.556166196443854</v>
      </c>
      <c r="K319" s="1475">
        <v>42376</v>
      </c>
      <c r="L319" s="1476" t="s">
        <v>2127</v>
      </c>
      <c r="M319" s="1477">
        <v>5.2531000000000001E-2</v>
      </c>
      <c r="N319" s="1478">
        <v>1.115375377989458</v>
      </c>
      <c r="O319" s="1478">
        <v>1.115375377989458</v>
      </c>
    </row>
    <row r="320" spans="2:15">
      <c r="B320" s="1390">
        <v>42156</v>
      </c>
      <c r="C320" s="1391">
        <v>582.40099999999995</v>
      </c>
      <c r="D320" s="1391">
        <v>4310.3900000000003</v>
      </c>
      <c r="E320" s="1391">
        <v>1.0106667572412273</v>
      </c>
      <c r="F320" s="1391">
        <v>38.967435461413736</v>
      </c>
      <c r="K320" s="1475">
        <v>42377</v>
      </c>
      <c r="L320" s="1476" t="s">
        <v>2127</v>
      </c>
      <c r="M320" s="1477">
        <v>5.2531000000000001E-2</v>
      </c>
      <c r="N320" s="1478">
        <v>1.1159612958292695</v>
      </c>
      <c r="O320" s="1478">
        <v>1.1159612958292695</v>
      </c>
    </row>
    <row r="321" spans="2:15">
      <c r="B321" s="1390">
        <v>42186</v>
      </c>
      <c r="C321" s="1391">
        <v>586.42600000000004</v>
      </c>
      <c r="D321" s="1391">
        <v>4337.1099999999997</v>
      </c>
      <c r="E321" s="1391">
        <v>1.0117819838421735</v>
      </c>
      <c r="F321" s="1391">
        <v>39.426549156391054</v>
      </c>
      <c r="K321" s="1475">
        <v>42378</v>
      </c>
      <c r="L321" s="1476"/>
      <c r="M321" s="1477">
        <v>0</v>
      </c>
      <c r="N321" s="1478">
        <v>1.1159612958292695</v>
      </c>
      <c r="O321" s="1478">
        <v>1.1159612958292695</v>
      </c>
    </row>
    <row r="322" spans="2:15">
      <c r="B322" s="1390">
        <v>42217</v>
      </c>
      <c r="C322" s="1391">
        <v>588.04200000000003</v>
      </c>
      <c r="D322" s="1391">
        <v>4346.6499999999996</v>
      </c>
      <c r="E322" s="1391">
        <v>1.0110896528780247</v>
      </c>
      <c r="F322" s="1391">
        <v>39.863775900713804</v>
      </c>
      <c r="K322" s="1475">
        <v>42379</v>
      </c>
      <c r="L322" s="1476"/>
      <c r="M322" s="1477">
        <v>0</v>
      </c>
      <c r="N322" s="1478">
        <v>1.1159612958292695</v>
      </c>
      <c r="O322" s="1478">
        <v>1.1159612958292695</v>
      </c>
    </row>
    <row r="323" spans="2:15">
      <c r="B323" s="1390">
        <v>42248</v>
      </c>
      <c r="C323" s="1391">
        <v>593.60599999999999</v>
      </c>
      <c r="D323" s="1391">
        <v>4370.12</v>
      </c>
      <c r="E323" s="1391">
        <v>1.0110896528780244</v>
      </c>
      <c r="F323" s="1391">
        <v>40.305851337860076</v>
      </c>
      <c r="K323" s="1475">
        <v>42380</v>
      </c>
      <c r="L323" s="1476" t="s">
        <v>2127</v>
      </c>
      <c r="M323" s="1477">
        <v>5.2531000000000001E-2</v>
      </c>
      <c r="N323" s="1478">
        <v>1.1165475214575815</v>
      </c>
      <c r="O323" s="1478">
        <v>1.1165475214575815</v>
      </c>
    </row>
    <row r="324" spans="2:15">
      <c r="B324" s="1390">
        <v>42278</v>
      </c>
      <c r="C324" s="1391">
        <v>604.83199999999999</v>
      </c>
      <c r="D324" s="1391">
        <v>4405.95</v>
      </c>
      <c r="E324" s="1391">
        <v>1.0110896528780242</v>
      </c>
      <c r="F324" s="1391">
        <v>40.752829238150191</v>
      </c>
      <c r="K324" s="1475">
        <v>42381</v>
      </c>
      <c r="L324" s="1476" t="s">
        <v>2127</v>
      </c>
      <c r="M324" s="1477">
        <v>5.2531000000000001E-2</v>
      </c>
      <c r="N324" s="1478">
        <v>1.1171340550360784</v>
      </c>
      <c r="O324" s="1478">
        <v>1.1171340550360784</v>
      </c>
    </row>
    <row r="325" spans="2:15">
      <c r="B325" s="1390">
        <v>42309</v>
      </c>
      <c r="C325" s="1391">
        <v>614.05100000000004</v>
      </c>
      <c r="D325" s="1391">
        <v>4450.45</v>
      </c>
      <c r="E325" s="1391">
        <v>1.0105587962367735</v>
      </c>
      <c r="F325" s="1391">
        <v>41.183130058147846</v>
      </c>
      <c r="K325" s="1475">
        <v>42382</v>
      </c>
      <c r="L325" s="1476" t="s">
        <v>2127</v>
      </c>
      <c r="M325" s="1477">
        <v>5.2531000000000001E-2</v>
      </c>
      <c r="N325" s="1478">
        <v>1.1177208967265295</v>
      </c>
      <c r="O325" s="1478">
        <v>1.1177208967265295</v>
      </c>
    </row>
    <row r="326" spans="2:15">
      <c r="B326" s="1390">
        <v>42339</v>
      </c>
      <c r="C326" s="1391">
        <v>617.04399999999998</v>
      </c>
      <c r="D326" s="1391">
        <v>4493.17</v>
      </c>
      <c r="E326" s="1391">
        <v>1.0116207883835777</v>
      </c>
      <c r="F326" s="1391">
        <v>41.66171049752694</v>
      </c>
      <c r="K326" s="1475">
        <v>42383</v>
      </c>
      <c r="L326" s="1476" t="s">
        <v>2127</v>
      </c>
      <c r="M326" s="1477">
        <v>5.2531000000000001E-2</v>
      </c>
      <c r="N326" s="1478">
        <v>1.1183080466907889</v>
      </c>
      <c r="O326" s="1478">
        <v>1.1183080466907889</v>
      </c>
    </row>
    <row r="327" spans="2:15">
      <c r="B327" s="1390">
        <v>42370</v>
      </c>
      <c r="C327" s="1391">
        <v>624.05999999999995</v>
      </c>
      <c r="D327" s="1391">
        <v>4550.2299999999996</v>
      </c>
      <c r="E327" s="1391">
        <v>1.0105587962367735</v>
      </c>
      <c r="F327" s="1391">
        <v>42.101608009545771</v>
      </c>
      <c r="K327" s="1475">
        <v>42384</v>
      </c>
      <c r="L327" s="1476" t="s">
        <v>2127</v>
      </c>
      <c r="M327" s="1477">
        <v>5.2531000000000001E-2</v>
      </c>
      <c r="N327" s="1478">
        <v>1.118895505090796</v>
      </c>
      <c r="O327" s="1478">
        <v>1.118895505090796</v>
      </c>
    </row>
    <row r="328" spans="2:15">
      <c r="B328" s="1390">
        <v>42401</v>
      </c>
      <c r="C328" s="1391">
        <v>632.11400000000003</v>
      </c>
      <c r="D328" s="1391">
        <v>4591.18</v>
      </c>
      <c r="E328" s="1391">
        <v>1.0100282183134115</v>
      </c>
      <c r="F328" s="1391">
        <v>42.523812126011173</v>
      </c>
      <c r="K328" s="1475">
        <v>42385</v>
      </c>
      <c r="L328" s="1476"/>
      <c r="M328" s="1477">
        <v>0</v>
      </c>
      <c r="N328" s="1478">
        <v>1.118895505090796</v>
      </c>
      <c r="O328" s="1478">
        <v>1.118895505090796</v>
      </c>
    </row>
    <row r="329" spans="2:15">
      <c r="B329" s="1390">
        <v>42430</v>
      </c>
      <c r="C329" s="1391">
        <v>635.34900000000005</v>
      </c>
      <c r="D329" s="1391">
        <v>4610.92</v>
      </c>
      <c r="E329" s="1391">
        <v>1.0116207883835779</v>
      </c>
      <c r="F329" s="1391">
        <v>43.017972347990572</v>
      </c>
      <c r="K329" s="1475">
        <v>42386</v>
      </c>
      <c r="L329" s="1476"/>
      <c r="M329" s="1477">
        <v>0</v>
      </c>
      <c r="N329" s="1478">
        <v>1.118895505090796</v>
      </c>
      <c r="O329" s="1478">
        <v>1.118895505090796</v>
      </c>
    </row>
    <row r="330" spans="2:15">
      <c r="B330" s="1390">
        <v>42461</v>
      </c>
      <c r="C330" s="1391">
        <v>637.43399999999997</v>
      </c>
      <c r="D330" s="1391">
        <v>4639.05</v>
      </c>
      <c r="E330" s="1391">
        <v>1.0105587962367735</v>
      </c>
      <c r="F330" s="1391">
        <v>43.472190352532159</v>
      </c>
      <c r="K330" s="1475">
        <v>42387</v>
      </c>
      <c r="L330" s="1476" t="s">
        <v>2127</v>
      </c>
      <c r="M330" s="1477">
        <v>5.2531000000000001E-2</v>
      </c>
      <c r="N330" s="1478">
        <v>1.1194832720885752</v>
      </c>
      <c r="O330" s="1478">
        <v>1.1194832720885752</v>
      </c>
    </row>
    <row r="331" spans="2:15">
      <c r="B331" s="1390">
        <v>42491</v>
      </c>
      <c r="C331" s="1391">
        <v>642.65099999999995</v>
      </c>
      <c r="D331" s="1391">
        <v>4675.2299999999996</v>
      </c>
      <c r="E331" s="1391">
        <v>1.0110896528780244</v>
      </c>
      <c r="F331" s="1391">
        <v>43.954281853389141</v>
      </c>
      <c r="K331" s="1475">
        <v>42388</v>
      </c>
      <c r="L331" s="1476" t="s">
        <v>2127</v>
      </c>
      <c r="M331" s="1477">
        <v>5.2531000000000001E-2</v>
      </c>
      <c r="N331" s="1478">
        <v>1.1200713478462361</v>
      </c>
      <c r="O331" s="1478">
        <v>1.1200713478462361</v>
      </c>
    </row>
    <row r="332" spans="2:15">
      <c r="B332" s="1390">
        <v>42522</v>
      </c>
      <c r="C332" s="1391">
        <v>653.49599999999998</v>
      </c>
      <c r="D332" s="1391">
        <v>4691.59</v>
      </c>
      <c r="E332" s="1391">
        <v>1.0116207883835777</v>
      </c>
      <c r="F332" s="1391">
        <v>44.465065261359506</v>
      </c>
      <c r="K332" s="1475">
        <v>42389</v>
      </c>
      <c r="L332" s="1476" t="s">
        <v>2127</v>
      </c>
      <c r="M332" s="1477">
        <v>5.2531000000000001E-2</v>
      </c>
      <c r="N332" s="1478">
        <v>1.1206597325259733</v>
      </c>
      <c r="O332" s="1478">
        <v>1.1206597325259733</v>
      </c>
    </row>
    <row r="333" spans="2:15">
      <c r="B333" s="1390">
        <v>42552</v>
      </c>
      <c r="C333" s="1391">
        <v>654.64099999999996</v>
      </c>
      <c r="D333" s="1391">
        <v>4715.99</v>
      </c>
      <c r="E333" s="1391">
        <v>1.0110896528780242</v>
      </c>
      <c r="F333" s="1391">
        <v>44.958167400306678</v>
      </c>
      <c r="K333" s="1475">
        <v>42390</v>
      </c>
      <c r="L333" s="1476" t="s">
        <v>2127</v>
      </c>
      <c r="M333" s="1477">
        <v>5.2531000000000001E-2</v>
      </c>
      <c r="N333" s="1478">
        <v>1.1212484262900666</v>
      </c>
      <c r="O333" s="1478">
        <v>1.1212484262900666</v>
      </c>
    </row>
    <row r="334" spans="2:15">
      <c r="B334" s="1390">
        <v>42583</v>
      </c>
      <c r="C334" s="1391">
        <v>655.60199999999998</v>
      </c>
      <c r="D334" s="1391">
        <v>4736.74</v>
      </c>
      <c r="E334" s="1391">
        <v>1.0121522028999232</v>
      </c>
      <c r="F334" s="1391">
        <v>45.504508172563916</v>
      </c>
      <c r="K334" s="1475">
        <v>42391</v>
      </c>
      <c r="L334" s="1476" t="s">
        <v>2127</v>
      </c>
      <c r="M334" s="1477">
        <v>5.2531000000000001E-2</v>
      </c>
      <c r="N334" s="1478">
        <v>1.121837429300881</v>
      </c>
      <c r="O334" s="1478">
        <v>1.121837429300881</v>
      </c>
    </row>
    <row r="335" spans="2:15">
      <c r="B335" s="1390">
        <v>42614</v>
      </c>
      <c r="C335" s="1391">
        <v>656.89400000000001</v>
      </c>
      <c r="D335" s="1391">
        <v>4740.53</v>
      </c>
      <c r="E335" s="1391">
        <v>1.0110896528780247</v>
      </c>
      <c r="F335" s="1391">
        <v>46.009137372582884</v>
      </c>
      <c r="K335" s="1475">
        <v>42392</v>
      </c>
      <c r="L335" s="1476"/>
      <c r="M335" s="1477">
        <v>0</v>
      </c>
      <c r="N335" s="1478">
        <v>1.121837429300881</v>
      </c>
      <c r="O335" s="1478">
        <v>1.121837429300881</v>
      </c>
    </row>
    <row r="336" spans="2:15">
      <c r="B336" s="1390">
        <v>42644</v>
      </c>
      <c r="C336" s="1391">
        <v>657.92700000000002</v>
      </c>
      <c r="D336" s="1391">
        <v>4752.8599999999997</v>
      </c>
      <c r="E336" s="1391">
        <v>1.0104884196148551</v>
      </c>
      <c r="F336" s="1391">
        <v>46.491700511464046</v>
      </c>
      <c r="K336" s="1475">
        <v>42393</v>
      </c>
      <c r="L336" s="1476"/>
      <c r="M336" s="1477">
        <v>0</v>
      </c>
      <c r="N336" s="1478">
        <v>1.121837429300881</v>
      </c>
      <c r="O336" s="1478">
        <v>1.121837429300881</v>
      </c>
    </row>
    <row r="337" spans="2:15">
      <c r="B337" s="1390">
        <v>42675</v>
      </c>
      <c r="C337" s="1391">
        <v>657.75199999999995</v>
      </c>
      <c r="D337" s="1391">
        <v>4761.42</v>
      </c>
      <c r="E337" s="1391">
        <v>1.0103828638714687</v>
      </c>
      <c r="F337" s="1391">
        <v>46.974417509027667</v>
      </c>
      <c r="K337" s="1475">
        <v>42394</v>
      </c>
      <c r="L337" s="1476" t="s">
        <v>2127</v>
      </c>
      <c r="M337" s="1477">
        <v>5.2531000000000001E-2</v>
      </c>
      <c r="N337" s="1478">
        <v>1.1224267417208671</v>
      </c>
      <c r="O337" s="1478">
        <v>1.1224267417208671</v>
      </c>
    </row>
    <row r="338" spans="2:15">
      <c r="B338" s="1390">
        <v>42705</v>
      </c>
      <c r="C338" s="1391">
        <v>661.30399999999997</v>
      </c>
      <c r="D338" s="1391">
        <v>4775.7</v>
      </c>
      <c r="E338" s="1391">
        <v>1.0112331468569866</v>
      </c>
      <c r="F338" s="1391">
        <v>47.502088039427981</v>
      </c>
      <c r="K338" s="1475">
        <v>42395</v>
      </c>
      <c r="L338" s="1476" t="s">
        <v>2127</v>
      </c>
      <c r="M338" s="1477">
        <v>5.2531000000000001E-2</v>
      </c>
      <c r="N338" s="1478">
        <v>1.1230163637125605</v>
      </c>
      <c r="O338" s="1478">
        <v>1.1230163637125605</v>
      </c>
    </row>
    <row r="339" spans="2:15">
      <c r="B339" s="1390">
        <v>42736</v>
      </c>
      <c r="C339" s="1391">
        <v>665.54200000000003</v>
      </c>
      <c r="D339" s="1391">
        <v>4793.8500000000004</v>
      </c>
      <c r="E339" s="1391">
        <v>1.0108612048503447</v>
      </c>
      <c r="F339" s="1391">
        <v>48.018017948443315</v>
      </c>
      <c r="K339" s="1475">
        <v>42396</v>
      </c>
      <c r="L339" s="1476" t="s">
        <v>2127</v>
      </c>
      <c r="M339" s="1477">
        <v>5.2531000000000001E-2</v>
      </c>
      <c r="N339" s="1478">
        <v>1.1236062954385824</v>
      </c>
      <c r="O339" s="1478">
        <v>1.1236062954385824</v>
      </c>
    </row>
    <row r="340" spans="2:15">
      <c r="B340" s="1390">
        <v>42767</v>
      </c>
      <c r="C340" s="1391">
        <v>666.09900000000005</v>
      </c>
      <c r="D340" s="1391">
        <v>4809.67</v>
      </c>
      <c r="E340" s="1391">
        <v>1.0086508422083289</v>
      </c>
      <c r="F340" s="1391">
        <v>48.433414244872004</v>
      </c>
      <c r="K340" s="1475">
        <v>42397</v>
      </c>
      <c r="L340" s="1476" t="s">
        <v>2127</v>
      </c>
      <c r="M340" s="1477">
        <v>5.2531000000000001E-2</v>
      </c>
      <c r="N340" s="1478">
        <v>1.1241965370616391</v>
      </c>
      <c r="O340" s="1478">
        <v>1.1241965370616391</v>
      </c>
    </row>
    <row r="341" spans="2:15">
      <c r="B341" s="1390">
        <v>42795</v>
      </c>
      <c r="C341" s="1391">
        <v>666.197</v>
      </c>
      <c r="D341" s="1391">
        <v>4821.6899999999996</v>
      </c>
      <c r="E341" s="1391">
        <v>1.0105205646045978</v>
      </c>
      <c r="F341" s="1391">
        <v>48.94296110845643</v>
      </c>
      <c r="K341" s="1475">
        <v>42398</v>
      </c>
      <c r="L341" s="1476" t="s">
        <v>2127</v>
      </c>
      <c r="M341" s="1477">
        <v>5.2531000000000001E-2</v>
      </c>
      <c r="N341" s="1478">
        <v>1.124787088744523</v>
      </c>
      <c r="O341" s="1478">
        <v>1.124787088744523</v>
      </c>
    </row>
    <row r="342" spans="2:15">
      <c r="B342" s="1390">
        <v>42826</v>
      </c>
      <c r="C342" s="1391">
        <v>658.89800000000002</v>
      </c>
      <c r="D342" s="1391">
        <v>4828.4399999999996</v>
      </c>
      <c r="E342" s="1391">
        <v>1.0078658059100756</v>
      </c>
      <c r="F342" s="1391">
        <v>49.327936941199923</v>
      </c>
      <c r="K342" s="1475">
        <v>42399</v>
      </c>
      <c r="L342" s="1476"/>
      <c r="M342" s="1477">
        <v>0</v>
      </c>
      <c r="N342" s="1478">
        <v>1.124787088744523</v>
      </c>
      <c r="O342" s="1478">
        <v>1.124787088744523</v>
      </c>
    </row>
    <row r="343" spans="2:15">
      <c r="B343" s="1390">
        <v>42856</v>
      </c>
      <c r="C343" s="1391">
        <v>652.75800000000004</v>
      </c>
      <c r="D343" s="1391">
        <v>4843.41</v>
      </c>
      <c r="E343" s="1391">
        <v>1.0092713189779878</v>
      </c>
      <c r="F343" s="1391">
        <v>49.785271979107854</v>
      </c>
      <c r="K343" s="1475">
        <v>42400</v>
      </c>
      <c r="L343" s="1476"/>
      <c r="M343" s="1477">
        <v>0</v>
      </c>
      <c r="N343" s="1478">
        <v>1.124787088744523</v>
      </c>
      <c r="O343" s="1478">
        <v>1.124787088744523</v>
      </c>
    </row>
    <row r="344" spans="2:15">
      <c r="B344" s="1390">
        <v>42887</v>
      </c>
      <c r="C344" s="1391">
        <v>648.40899999999999</v>
      </c>
      <c r="D344" s="1391">
        <v>4832.2700000000004</v>
      </c>
      <c r="E344" s="1391">
        <v>1.0080886926571575</v>
      </c>
      <c r="F344" s="1391">
        <v>50.187969742999854</v>
      </c>
      <c r="K344" s="1475">
        <v>42401</v>
      </c>
      <c r="L344" s="1476" t="s">
        <v>2127</v>
      </c>
      <c r="M344" s="1477">
        <v>5.2531000000000001E-2</v>
      </c>
      <c r="N344" s="1478">
        <v>1.1253779506501114</v>
      </c>
      <c r="O344" s="1478">
        <v>1.1253779506501114</v>
      </c>
    </row>
    <row r="345" spans="2:15">
      <c r="B345" s="1390">
        <v>42917</v>
      </c>
      <c r="C345" s="1391">
        <v>643.76599999999996</v>
      </c>
      <c r="D345" s="1391">
        <v>4843.87</v>
      </c>
      <c r="E345" s="1391">
        <v>1.0079792299470567</v>
      </c>
      <c r="F345" s="1391">
        <v>50.588431094155176</v>
      </c>
      <c r="K345" s="1475">
        <v>42402</v>
      </c>
      <c r="L345" s="1476" t="s">
        <v>2127</v>
      </c>
      <c r="M345" s="1477">
        <v>5.2531000000000001E-2</v>
      </c>
      <c r="N345" s="1478">
        <v>1.1259691229413673</v>
      </c>
      <c r="O345" s="1478">
        <v>1.1259691229413673</v>
      </c>
    </row>
    <row r="346" spans="2:15">
      <c r="B346" s="1390">
        <v>42948</v>
      </c>
      <c r="C346" s="1391">
        <v>644.38300000000004</v>
      </c>
      <c r="D346" s="1391">
        <v>4853.07</v>
      </c>
      <c r="E346" s="1391">
        <v>1.0080228940119034</v>
      </c>
      <c r="F346" s="1391">
        <v>50.994296715052059</v>
      </c>
      <c r="K346" s="1475">
        <v>42403</v>
      </c>
      <c r="L346" s="1476" t="s">
        <v>2127</v>
      </c>
      <c r="M346" s="1477">
        <v>5.2531000000000001E-2</v>
      </c>
      <c r="N346" s="1478">
        <v>1.1265606057813395</v>
      </c>
      <c r="O346" s="1478">
        <v>1.1265606057813395</v>
      </c>
    </row>
    <row r="347" spans="2:15">
      <c r="B347" s="1390">
        <v>42979</v>
      </c>
      <c r="C347" s="1391">
        <v>647.4</v>
      </c>
      <c r="D347" s="1391">
        <v>4860.83</v>
      </c>
      <c r="E347" s="1391">
        <v>1.0063846003708505</v>
      </c>
      <c r="F347" s="1391">
        <v>51.319874920770239</v>
      </c>
      <c r="K347" s="1475">
        <v>42404</v>
      </c>
      <c r="L347" s="1476" t="s">
        <v>2127</v>
      </c>
      <c r="M347" s="1477">
        <v>5.2531000000000001E-2</v>
      </c>
      <c r="N347" s="1478">
        <v>1.1271523993331625</v>
      </c>
      <c r="O347" s="1478">
        <v>1.1271523993331625</v>
      </c>
    </row>
    <row r="348" spans="2:15">
      <c r="B348" s="1390">
        <v>43009</v>
      </c>
      <c r="C348" s="1391">
        <v>648.67200000000003</v>
      </c>
      <c r="D348" s="1391">
        <v>4881.25</v>
      </c>
      <c r="E348" s="1391">
        <v>1.0064393014601032</v>
      </c>
      <c r="F348" s="1391">
        <v>51.650339066279869</v>
      </c>
      <c r="K348" s="1475">
        <v>42405</v>
      </c>
      <c r="L348" s="1476" t="s">
        <v>2127</v>
      </c>
      <c r="M348" s="1477">
        <v>5.2531000000000001E-2</v>
      </c>
      <c r="N348" s="1478">
        <v>1.1277445037600562</v>
      </c>
      <c r="O348" s="1478">
        <v>1.1277445037600562</v>
      </c>
    </row>
    <row r="349" spans="2:15">
      <c r="B349" s="1390">
        <v>43040</v>
      </c>
      <c r="C349" s="1391">
        <v>652.07299999999998</v>
      </c>
      <c r="D349" s="1391">
        <v>4894.92</v>
      </c>
      <c r="E349" s="1391">
        <v>1.0056818783789492</v>
      </c>
      <c r="F349" s="1391">
        <v>51.943810011085958</v>
      </c>
      <c r="K349" s="1475">
        <v>42406</v>
      </c>
      <c r="L349" s="1476"/>
      <c r="M349" s="1477">
        <v>0</v>
      </c>
      <c r="N349" s="1478">
        <v>1.1277445037600562</v>
      </c>
      <c r="O349" s="1478">
        <v>1.1277445037600562</v>
      </c>
    </row>
    <row r="350" spans="2:15">
      <c r="B350" s="1390">
        <v>43070</v>
      </c>
      <c r="C350" s="1391">
        <v>657.85900000000004</v>
      </c>
      <c r="D350" s="1391">
        <v>4916.46</v>
      </c>
      <c r="E350" s="1391">
        <v>1.0053840004998948</v>
      </c>
      <c r="F350" s="1391">
        <v>52.223475510152085</v>
      </c>
      <c r="K350" s="1475">
        <v>42407</v>
      </c>
      <c r="L350" s="1476"/>
      <c r="M350" s="1477">
        <v>0</v>
      </c>
      <c r="N350" s="1478">
        <v>1.1277445037600562</v>
      </c>
      <c r="O350" s="1478">
        <v>1.1277445037600562</v>
      </c>
    </row>
    <row r="351" spans="2:15">
      <c r="B351" s="1390">
        <v>43101</v>
      </c>
      <c r="C351" s="1391">
        <v>662.82600000000002</v>
      </c>
      <c r="D351" s="1391">
        <v>4930.72</v>
      </c>
      <c r="E351" s="1391">
        <v>1.0058420473548675</v>
      </c>
      <c r="F351" s="1391">
        <v>52.528567527118156</v>
      </c>
      <c r="K351" s="1475">
        <v>42408</v>
      </c>
      <c r="L351" s="1476"/>
      <c r="M351" s="1477">
        <v>0</v>
      </c>
      <c r="N351" s="1478">
        <v>1.1277445037600562</v>
      </c>
      <c r="O351" s="1478">
        <v>1.1277445037600562</v>
      </c>
    </row>
    <row r="352" spans="2:15">
      <c r="B352" s="1390">
        <v>43132</v>
      </c>
      <c r="C352" s="1391">
        <v>663.31100000000004</v>
      </c>
      <c r="D352" s="1391">
        <v>4946.5</v>
      </c>
      <c r="E352" s="1391">
        <v>1.0046560161193037</v>
      </c>
      <c r="F352" s="1391">
        <v>52.773141384248348</v>
      </c>
      <c r="K352" s="1475">
        <v>42409</v>
      </c>
      <c r="L352" s="1476"/>
      <c r="M352" s="1477">
        <v>0</v>
      </c>
      <c r="N352" s="1478">
        <v>1.1277445037600562</v>
      </c>
      <c r="O352" s="1478">
        <v>1.1277445037600562</v>
      </c>
    </row>
    <row r="353" spans="2:15">
      <c r="B353" s="1390">
        <v>43160</v>
      </c>
      <c r="C353" s="1391">
        <v>667.524</v>
      </c>
      <c r="D353" s="1391">
        <v>4950.95</v>
      </c>
      <c r="E353" s="1391">
        <v>1.0053234480536677</v>
      </c>
      <c r="F353" s="1391">
        <v>53.054076461036253</v>
      </c>
      <c r="K353" s="1475">
        <v>42410</v>
      </c>
      <c r="L353" s="1476" t="s">
        <v>2127</v>
      </c>
      <c r="M353" s="1477">
        <v>5.2531000000000001E-2</v>
      </c>
      <c r="N353" s="1478">
        <v>1.1283369192253263</v>
      </c>
      <c r="O353" s="1478">
        <v>1.1283369192253263</v>
      </c>
    </row>
    <row r="354" spans="2:15">
      <c r="B354" s="1390">
        <v>43191</v>
      </c>
      <c r="C354" s="1391">
        <v>671.327</v>
      </c>
      <c r="D354" s="1391">
        <v>4961.84</v>
      </c>
      <c r="E354" s="1391">
        <v>1.0051829489023658</v>
      </c>
      <c r="F354" s="1391">
        <v>53.329053028396011</v>
      </c>
      <c r="K354" s="1475">
        <v>42411</v>
      </c>
      <c r="L354" s="1476" t="s">
        <v>2127</v>
      </c>
      <c r="M354" s="1477">
        <v>5.2531000000000001E-2</v>
      </c>
      <c r="N354" s="1478">
        <v>1.1289296458923646</v>
      </c>
      <c r="O354" s="1478">
        <v>1.1289296458923646</v>
      </c>
    </row>
    <row r="355" spans="2:15">
      <c r="B355" s="1390">
        <v>43221</v>
      </c>
      <c r="C355" s="1391">
        <v>680.57899999999995</v>
      </c>
      <c r="D355" s="1391">
        <v>4981.6899999999996</v>
      </c>
      <c r="E355" s="1391">
        <v>1.0051829489023656</v>
      </c>
      <c r="F355" s="1391">
        <v>53.605454785253734</v>
      </c>
      <c r="G355" s="490"/>
      <c r="K355" s="1475">
        <v>42412</v>
      </c>
      <c r="L355" s="1476" t="s">
        <v>2127</v>
      </c>
      <c r="M355" s="1477">
        <v>5.2531000000000001E-2</v>
      </c>
      <c r="N355" s="1478">
        <v>1.1295226839246482</v>
      </c>
      <c r="O355" s="1478">
        <v>1.1295226839246482</v>
      </c>
    </row>
    <row r="356" spans="2:15">
      <c r="B356" s="1390">
        <v>43252</v>
      </c>
      <c r="C356" s="1391">
        <v>693.28700000000003</v>
      </c>
      <c r="D356" s="1391">
        <v>5044.46</v>
      </c>
      <c r="E356" s="1391">
        <v>1.0051829489023654</v>
      </c>
      <c r="F356" s="1391">
        <v>53.88328911829376</v>
      </c>
      <c r="G356" s="10"/>
      <c r="I356" s="10"/>
      <c r="K356" s="1475">
        <v>42413</v>
      </c>
      <c r="L356" s="1476"/>
      <c r="M356" s="1477">
        <v>0</v>
      </c>
      <c r="N356" s="1478">
        <v>1.1295226839246482</v>
      </c>
      <c r="O356" s="1478">
        <v>1.1295226839246482</v>
      </c>
    </row>
    <row r="357" spans="2:15">
      <c r="B357" s="1390">
        <v>43282</v>
      </c>
      <c r="C357" s="1391">
        <v>696.8</v>
      </c>
      <c r="D357" s="1391">
        <v>5061.1099999999997</v>
      </c>
      <c r="E357" s="1391">
        <v>1.0054304249443857</v>
      </c>
      <c r="F357" s="1391">
        <v>54.175898275607288</v>
      </c>
      <c r="G357" s="10"/>
      <c r="K357" s="1475">
        <v>42414</v>
      </c>
      <c r="L357" s="1476"/>
      <c r="M357" s="1477">
        <v>0</v>
      </c>
      <c r="N357" s="1478">
        <v>1.1295226839246482</v>
      </c>
      <c r="O357" s="1478">
        <v>1.1295226839246482</v>
      </c>
    </row>
    <row r="358" spans="2:15">
      <c r="B358" s="1390">
        <v>43313</v>
      </c>
      <c r="C358" s="1391">
        <v>701.67700000000002</v>
      </c>
      <c r="D358" s="1391">
        <v>5056.5600000000004</v>
      </c>
      <c r="E358" s="1391">
        <v>1.0056779619150069</v>
      </c>
      <c r="F358" s="1391">
        <v>54.483506962727475</v>
      </c>
      <c r="K358" s="1475">
        <v>42415</v>
      </c>
      <c r="L358" s="1476" t="s">
        <v>2127</v>
      </c>
      <c r="M358" s="1477">
        <v>5.2531000000000001E-2</v>
      </c>
      <c r="N358" s="1478">
        <v>1.1301160334857405</v>
      </c>
      <c r="O358" s="1478">
        <v>1.1301160334857405</v>
      </c>
    </row>
    <row r="359" spans="2:15">
      <c r="B359" s="1390">
        <v>43344</v>
      </c>
      <c r="C359" s="1391">
        <v>712.37300000000005</v>
      </c>
      <c r="D359" s="1391">
        <v>5080.83</v>
      </c>
      <c r="E359" s="1391">
        <v>1.0046881795441467</v>
      </c>
      <c r="F359" s="1391">
        <v>54.738935425563504</v>
      </c>
      <c r="K359" s="1475">
        <v>42416</v>
      </c>
      <c r="L359" s="1476" t="s">
        <v>2127</v>
      </c>
      <c r="M359" s="1477">
        <v>5.2531000000000001E-2</v>
      </c>
      <c r="N359" s="1478">
        <v>1.1307096947392909</v>
      </c>
      <c r="O359" s="1478">
        <v>1.1307096947392909</v>
      </c>
    </row>
    <row r="360" spans="2:15">
      <c r="B360" s="1390">
        <v>43374</v>
      </c>
      <c r="C360" s="1391">
        <v>718.68399999999997</v>
      </c>
      <c r="D360" s="1391">
        <v>5103.6899999999996</v>
      </c>
      <c r="E360" s="1391">
        <v>1.0054304249443855</v>
      </c>
      <c r="F360" s="1391">
        <v>55.036191105927593</v>
      </c>
      <c r="K360" s="1475">
        <v>42417</v>
      </c>
      <c r="L360" s="1476" t="s">
        <v>2127</v>
      </c>
      <c r="M360" s="1477">
        <v>5.2531000000000001E-2</v>
      </c>
      <c r="N360" s="1478">
        <v>1.1313036678490345</v>
      </c>
      <c r="O360" s="1478">
        <v>1.1313036678490345</v>
      </c>
    </row>
    <row r="361" spans="2:15">
      <c r="B361" s="1390">
        <v>43405</v>
      </c>
      <c r="C361" s="1391">
        <v>715.16600000000005</v>
      </c>
      <c r="D361" s="1391">
        <v>5092.97</v>
      </c>
      <c r="E361" s="1391">
        <v>1.0049355337739507</v>
      </c>
      <c r="F361" s="1391">
        <v>55.307824085920508</v>
      </c>
      <c r="K361" s="1475">
        <v>42418</v>
      </c>
      <c r="L361" s="1476" t="s">
        <v>2127</v>
      </c>
      <c r="M361" s="1477">
        <v>5.2531000000000001E-2</v>
      </c>
      <c r="N361" s="1478">
        <v>1.1318979529787923</v>
      </c>
      <c r="O361" s="1478">
        <v>1.1318979529787923</v>
      </c>
    </row>
    <row r="362" spans="2:15">
      <c r="B362" s="1390">
        <v>43435</v>
      </c>
      <c r="C362" s="1391">
        <v>707.44100000000003</v>
      </c>
      <c r="D362" s="1391">
        <v>5100.6099999999997</v>
      </c>
      <c r="E362" s="1391">
        <v>1.0049355337739507</v>
      </c>
      <c r="F362" s="1391">
        <v>55.580797719660296</v>
      </c>
      <c r="K362" s="1475">
        <v>42419</v>
      </c>
      <c r="L362" s="1476" t="s">
        <v>2127</v>
      </c>
      <c r="M362" s="1477">
        <v>5.2531000000000001E-2</v>
      </c>
      <c r="N362" s="1478">
        <v>1.1324925502924716</v>
      </c>
      <c r="O362" s="1478">
        <v>1.1324925502924716</v>
      </c>
    </row>
    <row r="363" spans="2:15">
      <c r="B363" s="1390">
        <v>43466</v>
      </c>
      <c r="C363" s="1391">
        <v>707.48800000000006</v>
      </c>
      <c r="D363" s="1391">
        <v>5116.93</v>
      </c>
      <c r="E363" s="1391">
        <v>1.0054304249443855</v>
      </c>
      <c r="F363" s="1391">
        <v>55.882625070025988</v>
      </c>
      <c r="K363" s="1475">
        <v>42420</v>
      </c>
      <c r="L363" s="1476"/>
      <c r="M363" s="1477">
        <v>0</v>
      </c>
      <c r="N363" s="1478">
        <v>1.1324925502924716</v>
      </c>
      <c r="O363" s="1478">
        <v>1.1324925502924716</v>
      </c>
    </row>
    <row r="364" spans="2:15">
      <c r="B364" s="1390">
        <v>43497</v>
      </c>
      <c r="C364" s="1391">
        <v>713.74699999999996</v>
      </c>
      <c r="D364" s="1391">
        <v>5138.93</v>
      </c>
      <c r="E364" s="1391">
        <v>1.0049355337739507</v>
      </c>
      <c r="F364" s="1391">
        <v>56.158435653436129</v>
      </c>
      <c r="K364" s="1475">
        <v>42421</v>
      </c>
      <c r="L364" s="1476"/>
      <c r="M364" s="1477">
        <v>0</v>
      </c>
      <c r="N364" s="1478">
        <v>1.1324925502924716</v>
      </c>
      <c r="O364" s="1478">
        <v>1.1324925502924716</v>
      </c>
    </row>
    <row r="365" spans="2:15">
      <c r="B365" s="1390">
        <v>43525</v>
      </c>
      <c r="C365" s="1391">
        <v>722.70699999999999</v>
      </c>
      <c r="D365" s="1391">
        <v>5177.47</v>
      </c>
      <c r="E365" s="1391">
        <v>1.0046881795441467</v>
      </c>
      <c r="F365" s="1391">
        <v>56.421716482697846</v>
      </c>
      <c r="K365" s="1475">
        <v>42422</v>
      </c>
      <c r="L365" s="1476" t="s">
        <v>2127</v>
      </c>
      <c r="M365" s="1477">
        <v>5.2531000000000001E-2</v>
      </c>
      <c r="N365" s="1478">
        <v>1.1330874599540657</v>
      </c>
      <c r="O365" s="1478">
        <v>1.1330874599540657</v>
      </c>
    </row>
    <row r="366" spans="2:15">
      <c r="B366" s="1390">
        <v>43556</v>
      </c>
      <c r="C366" s="1391">
        <v>729.346</v>
      </c>
      <c r="D366" s="1391">
        <v>5206.9799999999996</v>
      </c>
      <c r="E366" s="1391">
        <v>1.0051829489023654</v>
      </c>
      <c r="F366" s="1391">
        <v>56.714147356211413</v>
      </c>
      <c r="K366" s="1475">
        <v>42423</v>
      </c>
      <c r="L366" s="1476" t="s">
        <v>2127</v>
      </c>
      <c r="M366" s="1477">
        <v>5.2531000000000001E-2</v>
      </c>
      <c r="N366" s="1478">
        <v>1.1336826821276542</v>
      </c>
      <c r="O366" s="1478">
        <v>1.1336826821276542</v>
      </c>
    </row>
    <row r="367" spans="2:15">
      <c r="B367" s="1390">
        <v>43586</v>
      </c>
      <c r="C367" s="1391">
        <v>732.59500000000003</v>
      </c>
      <c r="D367" s="1391">
        <v>5213.75</v>
      </c>
      <c r="E367" s="1391">
        <v>1.0054304249443855</v>
      </c>
      <c r="F367" s="1391">
        <v>57.022129276714139</v>
      </c>
      <c r="K367" s="1475">
        <v>42424</v>
      </c>
      <c r="L367" s="1476" t="s">
        <v>2127</v>
      </c>
      <c r="M367" s="1477">
        <v>5.2531000000000001E-2</v>
      </c>
      <c r="N367" s="1478">
        <v>1.1342782169774026</v>
      </c>
      <c r="O367" s="1478">
        <v>1.1342782169774026</v>
      </c>
    </row>
    <row r="368" spans="2:15">
      <c r="B368" s="1390">
        <v>43617</v>
      </c>
      <c r="C368" s="1391">
        <v>738.42100000000005</v>
      </c>
      <c r="D368" s="1391">
        <v>5214.2700000000004</v>
      </c>
      <c r="E368" s="1391">
        <v>1.0046881795441465</v>
      </c>
      <c r="F368" s="1391">
        <v>57.289459256752906</v>
      </c>
      <c r="K368" s="1475">
        <v>42425</v>
      </c>
      <c r="L368" s="1476" t="s">
        <v>2127</v>
      </c>
      <c r="M368" s="1477">
        <v>5.2531000000000001E-2</v>
      </c>
      <c r="N368" s="1478">
        <v>1.134874064667563</v>
      </c>
      <c r="O368" s="1478">
        <v>1.134874064667563</v>
      </c>
    </row>
    <row r="369" spans="2:15">
      <c r="B369" s="1390">
        <v>43647</v>
      </c>
      <c r="C369" s="1391">
        <v>741.346</v>
      </c>
      <c r="D369" s="1391">
        <v>5224.18</v>
      </c>
      <c r="E369" s="1391">
        <v>1.0056779619150069</v>
      </c>
      <c r="F369" s="1391">
        <v>57.61474662454409</v>
      </c>
      <c r="K369" s="1475">
        <v>42426</v>
      </c>
      <c r="L369" s="1476" t="s">
        <v>2127</v>
      </c>
      <c r="M369" s="1477">
        <v>5.2531000000000001E-2</v>
      </c>
      <c r="N369" s="1478">
        <v>1.1354702253624736</v>
      </c>
      <c r="O369" s="1478">
        <v>1.1354702253624736</v>
      </c>
    </row>
    <row r="370" spans="2:15">
      <c r="B370" s="1390">
        <v>43678</v>
      </c>
      <c r="C370" s="1391">
        <v>736.40200000000004</v>
      </c>
      <c r="D370" s="1391">
        <v>5229.93</v>
      </c>
      <c r="E370" s="1391">
        <v>1.0050171948996307</v>
      </c>
      <c r="F370" s="1391">
        <v>57.903811037452265</v>
      </c>
      <c r="K370" s="1475">
        <v>42427</v>
      </c>
      <c r="L370" s="1476"/>
      <c r="M370" s="1477">
        <v>0</v>
      </c>
      <c r="N370" s="1478">
        <v>1.1354702253624736</v>
      </c>
      <c r="O370" s="1478">
        <v>1.1354702253624736</v>
      </c>
    </row>
    <row r="371" spans="2:15">
      <c r="B371" s="1390">
        <v>43709</v>
      </c>
      <c r="C371" s="1391">
        <v>736.36199999999997</v>
      </c>
      <c r="D371" s="1391">
        <v>5227.84</v>
      </c>
      <c r="E371" s="1391">
        <v>1.0046375999081099</v>
      </c>
      <c r="F371" s="1391">
        <v>58.172345746198765</v>
      </c>
      <c r="K371" s="1475">
        <v>42428</v>
      </c>
      <c r="L371" s="1476"/>
      <c r="M371" s="1477">
        <v>0</v>
      </c>
      <c r="N371" s="1478">
        <v>1.1354702253624736</v>
      </c>
      <c r="O371" s="1478">
        <v>1.1354702253624736</v>
      </c>
    </row>
    <row r="372" spans="2:15">
      <c r="B372" s="1390">
        <v>43739</v>
      </c>
      <c r="C372" s="1391">
        <v>741.33299999999997</v>
      </c>
      <c r="D372" s="1391">
        <v>5233.07</v>
      </c>
      <c r="E372" s="1391">
        <v>1.0047926409835022</v>
      </c>
      <c r="F372" s="1391">
        <v>58.451144914528456</v>
      </c>
      <c r="K372" s="1475">
        <v>42429</v>
      </c>
      <c r="L372" s="1476" t="s">
        <v>2127</v>
      </c>
      <c r="M372" s="1477">
        <v>5.2531000000000001E-2</v>
      </c>
      <c r="N372" s="1478">
        <v>1.1360666992265587</v>
      </c>
      <c r="O372" s="1478">
        <v>1.1360666992265587</v>
      </c>
    </row>
    <row r="373" spans="2:15">
      <c r="B373" s="1390">
        <v>43770</v>
      </c>
      <c r="C373" s="1391">
        <v>743.55799999999999</v>
      </c>
      <c r="D373" s="1391">
        <v>5259.76</v>
      </c>
      <c r="E373" s="1391">
        <v>1.0038038559813272</v>
      </c>
      <c r="F373" s="1391">
        <v>58.673484651727009</v>
      </c>
      <c r="K373" s="1475">
        <v>42430</v>
      </c>
      <c r="L373" s="1476" t="s">
        <v>2127</v>
      </c>
      <c r="M373" s="1477">
        <v>5.2531000000000001E-2</v>
      </c>
      <c r="N373" s="1478">
        <v>1.1366634864243295</v>
      </c>
      <c r="O373" s="1478">
        <v>1.1366634864243295</v>
      </c>
    </row>
    <row r="374" spans="2:15">
      <c r="B374" s="1390">
        <v>43800</v>
      </c>
      <c r="C374" s="1391">
        <v>759.11199999999997</v>
      </c>
      <c r="D374" s="1391">
        <v>5320.25</v>
      </c>
      <c r="E374" s="1391">
        <v>1.0037470387078873</v>
      </c>
      <c r="F374" s="1391">
        <v>58.893336469843661</v>
      </c>
      <c r="K374" s="1475">
        <v>42431</v>
      </c>
      <c r="L374" s="1476" t="s">
        <v>2127</v>
      </c>
      <c r="M374" s="1477">
        <v>5.2531000000000001E-2</v>
      </c>
      <c r="N374" s="1478">
        <v>1.1372605871203831</v>
      </c>
      <c r="O374" s="1478">
        <v>1.1372605871203831</v>
      </c>
    </row>
    <row r="375" spans="2:15">
      <c r="B375" s="1390">
        <v>43831</v>
      </c>
      <c r="C375" s="1391">
        <v>762.73299999999995</v>
      </c>
      <c r="D375" s="1391">
        <v>5331.42</v>
      </c>
      <c r="E375" s="1391">
        <v>1.00376633367529</v>
      </c>
      <c r="F375" s="1391">
        <v>59.115148426240218</v>
      </c>
      <c r="K375" s="1475">
        <v>42432</v>
      </c>
      <c r="L375" s="1476" t="s">
        <v>2127</v>
      </c>
      <c r="M375" s="1477">
        <v>5.2531000000000001E-2</v>
      </c>
      <c r="N375" s="1478">
        <v>1.1378580014794033</v>
      </c>
      <c r="O375" s="1478">
        <v>1.1378580014794033</v>
      </c>
    </row>
    <row r="376" spans="2:15">
      <c r="B376" s="1390">
        <v>43862</v>
      </c>
      <c r="C376" s="1391">
        <v>762.423</v>
      </c>
      <c r="D376" s="1391">
        <v>5344.75</v>
      </c>
      <c r="E376" s="1391">
        <v>1.0029372863155552</v>
      </c>
      <c r="F376" s="1391">
        <v>59.288786542754629</v>
      </c>
      <c r="K376" s="1475">
        <v>42433</v>
      </c>
      <c r="L376" s="1476" t="s">
        <v>2127</v>
      </c>
      <c r="M376" s="1477">
        <v>5.2531000000000001E-2</v>
      </c>
      <c r="N376" s="1478">
        <v>1.1384557296661604</v>
      </c>
      <c r="O376" s="1478">
        <v>1.1384557296661604</v>
      </c>
    </row>
    <row r="377" spans="2:15">
      <c r="B377" s="1390">
        <v>43891</v>
      </c>
      <c r="C377" s="1391">
        <v>771.90800000000002</v>
      </c>
      <c r="D377" s="1391">
        <v>5348.49</v>
      </c>
      <c r="E377" s="1391">
        <v>1.0033836914846632</v>
      </c>
      <c r="F377" s="1391">
        <v>59.489401504915364</v>
      </c>
      <c r="K377" s="1475">
        <v>42434</v>
      </c>
      <c r="L377" s="1476"/>
      <c r="M377" s="1477">
        <v>0</v>
      </c>
      <c r="N377" s="1478">
        <v>1.1384557296661604</v>
      </c>
      <c r="O377" s="1478">
        <v>1.1384557296661604</v>
      </c>
    </row>
    <row r="378" spans="2:15">
      <c r="B378" s="1390">
        <v>43922</v>
      </c>
      <c r="C378" s="1391">
        <v>778.101</v>
      </c>
      <c r="D378" s="1391">
        <v>5331.91</v>
      </c>
      <c r="E378" s="1391">
        <v>1.0028492490278405</v>
      </c>
      <c r="F378" s="1391">
        <v>59.658901624320052</v>
      </c>
      <c r="K378" s="1475">
        <v>42435</v>
      </c>
      <c r="L378" s="1476"/>
      <c r="M378" s="1477">
        <v>0</v>
      </c>
      <c r="N378" s="1478">
        <v>1.1384557296661604</v>
      </c>
      <c r="O378" s="1478">
        <v>1.1384557296661604</v>
      </c>
    </row>
    <row r="379" spans="2:15">
      <c r="B379" s="1390">
        <v>43952</v>
      </c>
      <c r="C379" s="1391">
        <v>780.28</v>
      </c>
      <c r="D379" s="1391">
        <v>5311.65</v>
      </c>
      <c r="E379" s="1391">
        <v>1.0023580961930716</v>
      </c>
      <c r="F379" s="1391">
        <v>59.799583053123193</v>
      </c>
      <c r="K379" s="1475">
        <v>42436</v>
      </c>
      <c r="L379" s="1476" t="s">
        <v>2127</v>
      </c>
      <c r="M379" s="1477">
        <v>5.2531000000000001E-2</v>
      </c>
      <c r="N379" s="1478">
        <v>1.1390537718455114</v>
      </c>
      <c r="O379" s="1478">
        <v>1.1390537718455114</v>
      </c>
    </row>
    <row r="380" spans="2:15">
      <c r="B380" s="1390">
        <v>43983</v>
      </c>
      <c r="C380" s="1391">
        <v>792.42899999999997</v>
      </c>
      <c r="D380" s="1391">
        <v>5325.46</v>
      </c>
      <c r="E380" s="1391">
        <v>1.0021233217736718</v>
      </c>
      <c r="F380" s="1391">
        <v>59.926556809876388</v>
      </c>
      <c r="K380" s="1475">
        <v>42437</v>
      </c>
      <c r="L380" s="1476" t="s">
        <v>2127</v>
      </c>
      <c r="M380" s="1477">
        <v>5.2531000000000001E-2</v>
      </c>
      <c r="N380" s="1478">
        <v>1.1396521281823995</v>
      </c>
      <c r="O380" s="1478">
        <v>1.1396521281823995</v>
      </c>
    </row>
    <row r="381" spans="2:15">
      <c r="B381" s="1390">
        <v>44013</v>
      </c>
      <c r="C381" s="1391">
        <v>810.08299999999997</v>
      </c>
      <c r="D381" s="1391">
        <v>5344.63</v>
      </c>
      <c r="E381" s="1391">
        <v>1.0019434641302636</v>
      </c>
      <c r="F381" s="1391">
        <v>60.043021923486585</v>
      </c>
      <c r="K381" s="1475">
        <v>42438</v>
      </c>
      <c r="L381" s="1476" t="s">
        <v>2127</v>
      </c>
      <c r="M381" s="1477">
        <v>5.2531000000000001E-2</v>
      </c>
      <c r="N381" s="1478">
        <v>1.1402507988418549</v>
      </c>
      <c r="O381" s="1478">
        <v>1.1402507988418549</v>
      </c>
    </row>
    <row r="382" spans="2:15">
      <c r="B382" s="1390">
        <v>44044</v>
      </c>
      <c r="C382" s="1391">
        <v>832.31299999999999</v>
      </c>
      <c r="D382" s="1391">
        <v>5357.46</v>
      </c>
      <c r="E382" s="1391">
        <v>1.0015988959789295</v>
      </c>
      <c r="F382" s="1391">
        <v>60.13902446980282</v>
      </c>
      <c r="K382" s="1475">
        <v>42439</v>
      </c>
      <c r="L382" s="1476" t="s">
        <v>2127</v>
      </c>
      <c r="M382" s="1477">
        <v>5.2531000000000001E-2</v>
      </c>
      <c r="N382" s="1478">
        <v>1.1408497839889944</v>
      </c>
      <c r="O382" s="1478">
        <v>1.1408497839889944</v>
      </c>
    </row>
    <row r="383" spans="2:15">
      <c r="B383" s="1390">
        <v>44075</v>
      </c>
      <c r="C383" s="1391">
        <v>868.44200000000001</v>
      </c>
      <c r="D383" s="1391">
        <v>5391.75</v>
      </c>
      <c r="E383" s="1391">
        <v>1.0015696620595307</v>
      </c>
      <c r="F383" s="1391">
        <v>60.233422414810256</v>
      </c>
      <c r="K383" s="1475">
        <v>42440</v>
      </c>
      <c r="L383" s="1476" t="s">
        <v>2127</v>
      </c>
      <c r="M383" s="1477">
        <v>5.2531000000000001E-2</v>
      </c>
      <c r="N383" s="1478">
        <v>1.1414490837890217</v>
      </c>
      <c r="O383" s="1478">
        <v>1.1414490837890217</v>
      </c>
    </row>
    <row r="384" spans="2:15">
      <c r="B384" s="1390">
        <v>44105</v>
      </c>
      <c r="C384" s="1391">
        <v>896.505</v>
      </c>
      <c r="D384" s="1391">
        <v>5438.12</v>
      </c>
      <c r="E384" s="1391">
        <v>1.00156966205953</v>
      </c>
      <c r="F384" s="1391">
        <v>60.327968532690427</v>
      </c>
      <c r="K384" s="1475">
        <v>42441</v>
      </c>
      <c r="L384" s="1476"/>
      <c r="M384" s="1477">
        <v>0</v>
      </c>
      <c r="N384" s="1478">
        <v>1.1414490837890217</v>
      </c>
      <c r="O384" s="1478">
        <v>1.1414490837890217</v>
      </c>
    </row>
    <row r="385" spans="2:15">
      <c r="B385" s="1390">
        <v>44136</v>
      </c>
      <c r="C385" s="1391">
        <v>925.88699999999994</v>
      </c>
      <c r="D385" s="1391">
        <v>5486.52</v>
      </c>
      <c r="E385" s="1391">
        <v>1.0014948604084073</v>
      </c>
      <c r="F385" s="1391">
        <v>60.418150424369585</v>
      </c>
      <c r="K385" s="1475">
        <v>42442</v>
      </c>
      <c r="L385" s="1476"/>
      <c r="M385" s="1477">
        <v>0</v>
      </c>
      <c r="N385" s="1478">
        <v>1.1414490837890217</v>
      </c>
      <c r="O385" s="1478">
        <v>1.1414490837890217</v>
      </c>
    </row>
    <row r="386" spans="2:15">
      <c r="B386" s="1390">
        <v>44166</v>
      </c>
      <c r="C386" s="1391">
        <v>934.75800000000004</v>
      </c>
      <c r="D386" s="1391">
        <v>5560.59</v>
      </c>
      <c r="E386" s="1391">
        <v>1.0016444692975899</v>
      </c>
      <c r="F386" s="1391">
        <v>60.517506217759632</v>
      </c>
      <c r="K386" s="1475">
        <v>42443</v>
      </c>
      <c r="L386" s="1476" t="s">
        <v>2127</v>
      </c>
      <c r="M386" s="1477">
        <v>5.2531000000000001E-2</v>
      </c>
      <c r="N386" s="1478">
        <v>1.1420486984072269</v>
      </c>
      <c r="O386" s="1478">
        <v>1.1420486984072269</v>
      </c>
    </row>
    <row r="387" spans="2:15">
      <c r="B387" s="1390">
        <v>44197</v>
      </c>
      <c r="C387" s="1391">
        <v>958.84400000000005</v>
      </c>
      <c r="D387" s="1391">
        <v>5574.49</v>
      </c>
      <c r="E387" s="1391">
        <v>1.0014948604084077</v>
      </c>
      <c r="F387" s="1391">
        <v>60.607971441820126</v>
      </c>
      <c r="K387" s="1475">
        <v>42444</v>
      </c>
      <c r="L387" s="1476" t="s">
        <v>2127</v>
      </c>
      <c r="M387" s="1477">
        <v>5.2531000000000001E-2</v>
      </c>
      <c r="N387" s="1478">
        <v>1.1426486280089871</v>
      </c>
      <c r="O387" s="1478">
        <v>1.1426486280089871</v>
      </c>
    </row>
    <row r="388" spans="2:15">
      <c r="B388" s="1390">
        <v>44228</v>
      </c>
      <c r="C388" s="1391">
        <v>983.06299999999999</v>
      </c>
      <c r="D388" s="1391">
        <v>5622.43</v>
      </c>
      <c r="E388" s="1391">
        <v>1.0013452738652961</v>
      </c>
      <c r="F388" s="1391">
        <v>60.689505761829423</v>
      </c>
      <c r="K388" s="1475">
        <v>42445</v>
      </c>
      <c r="L388" s="1476" t="s">
        <v>2127</v>
      </c>
      <c r="M388" s="1477">
        <v>5.2531000000000001E-2</v>
      </c>
      <c r="N388" s="1478">
        <v>1.1432488727597665</v>
      </c>
      <c r="O388" s="1478">
        <v>1.1432488727597665</v>
      </c>
    </row>
    <row r="389" spans="2:15">
      <c r="B389" s="1390">
        <v>44256</v>
      </c>
      <c r="C389" s="1391">
        <v>1011.948</v>
      </c>
      <c r="D389" s="1391">
        <v>5674.72</v>
      </c>
      <c r="E389" s="1391">
        <v>1.0020107988327946</v>
      </c>
      <c r="F389" s="1391">
        <v>60.811540149178192</v>
      </c>
      <c r="K389" s="1475">
        <v>42446</v>
      </c>
      <c r="L389" s="1476" t="s">
        <v>2127</v>
      </c>
      <c r="M389" s="1477">
        <v>5.2531000000000001E-2</v>
      </c>
      <c r="N389" s="1478">
        <v>1.1438494328251159</v>
      </c>
      <c r="O389" s="1478">
        <v>1.1438494328251159</v>
      </c>
    </row>
    <row r="390" spans="2:15">
      <c r="B390" s="1390">
        <v>44287</v>
      </c>
      <c r="C390" s="1391">
        <v>1027.211</v>
      </c>
      <c r="D390" s="1391">
        <v>5692.31</v>
      </c>
      <c r="E390" s="1391">
        <v>1.0020778480243349</v>
      </c>
      <c r="F390" s="1391">
        <v>60.937897287733925</v>
      </c>
      <c r="K390" s="1475">
        <v>42447</v>
      </c>
      <c r="L390" s="1476" t="s">
        <v>2127</v>
      </c>
      <c r="M390" s="1477">
        <v>5.2531000000000001E-2</v>
      </c>
      <c r="N390" s="1478">
        <v>1.1444503083706732</v>
      </c>
      <c r="O390" s="1478">
        <v>1.1444503083706732</v>
      </c>
    </row>
    <row r="391" spans="2:15">
      <c r="B391" s="1390">
        <v>44317</v>
      </c>
      <c r="C391" s="1391">
        <v>1069.289</v>
      </c>
      <c r="D391" s="1391">
        <v>5739.56</v>
      </c>
      <c r="E391" s="1391">
        <v>1.0027032626398216</v>
      </c>
      <c r="F391" s="1391">
        <v>61.102628428821141</v>
      </c>
      <c r="K391" s="1475">
        <v>42448</v>
      </c>
      <c r="L391" s="1476"/>
      <c r="M391" s="1477">
        <v>0</v>
      </c>
      <c r="N391" s="1478">
        <v>1.1444503083706732</v>
      </c>
      <c r="O391" s="1478">
        <v>1.1444503083706732</v>
      </c>
    </row>
    <row r="392" spans="2:15">
      <c r="B392" s="1390">
        <v>44348</v>
      </c>
      <c r="C392" s="1391">
        <v>1075.7329999999999</v>
      </c>
      <c r="D392" s="1391">
        <v>5769.98</v>
      </c>
      <c r="E392" s="1391">
        <v>1.0030777896833167</v>
      </c>
      <c r="F392" s="1391">
        <v>61.290689468222901</v>
      </c>
      <c r="K392" s="1475">
        <v>42449</v>
      </c>
      <c r="L392" s="1476"/>
      <c r="M392" s="1477">
        <v>0</v>
      </c>
      <c r="N392" s="1478">
        <v>1.1444503083706732</v>
      </c>
      <c r="O392" s="1478">
        <v>1.1444503083706732</v>
      </c>
    </row>
    <row r="393" spans="2:15">
      <c r="B393" s="1390">
        <v>44378</v>
      </c>
      <c r="C393" s="1391">
        <v>1084.095</v>
      </c>
      <c r="D393" s="1391">
        <v>5825.37</v>
      </c>
      <c r="E393" s="1391">
        <v>1.003556161780192</v>
      </c>
      <c r="F393" s="1391">
        <v>61.508649075591414</v>
      </c>
      <c r="K393" s="1475">
        <v>42450</v>
      </c>
      <c r="L393" s="1476" t="s">
        <v>2127</v>
      </c>
      <c r="M393" s="1477">
        <v>5.2531000000000001E-2</v>
      </c>
      <c r="N393" s="1478">
        <v>1.1450514995621635</v>
      </c>
      <c r="O393" s="1478">
        <v>1.1450514995621635</v>
      </c>
    </row>
    <row r="394" spans="2:15">
      <c r="B394" s="1390">
        <v>44409</v>
      </c>
      <c r="C394" s="1391">
        <v>1091.29</v>
      </c>
      <c r="D394" s="1391">
        <v>5876.05</v>
      </c>
      <c r="E394" s="1391">
        <v>1.0042795247734253</v>
      </c>
      <c r="F394" s="1391">
        <v>61.771876863090334</v>
      </c>
      <c r="K394" s="1475">
        <v>42451</v>
      </c>
      <c r="L394" s="1476" t="s">
        <v>2127</v>
      </c>
      <c r="M394" s="1477">
        <v>5.2531000000000001E-2</v>
      </c>
      <c r="N394" s="1478">
        <v>1.1456530065653985</v>
      </c>
      <c r="O394" s="1478">
        <v>1.1456530065653985</v>
      </c>
    </row>
    <row r="395" spans="2:15">
      <c r="B395" s="1390">
        <v>44440</v>
      </c>
      <c r="C395" s="1391">
        <v>1084.3119999999999</v>
      </c>
      <c r="D395" s="1391">
        <v>5944.21</v>
      </c>
      <c r="E395" s="1391">
        <v>1.0044199933223523</v>
      </c>
      <c r="F395" s="1391">
        <v>62.044908146334365</v>
      </c>
      <c r="K395" s="1475">
        <v>42452</v>
      </c>
      <c r="L395" s="1476" t="s">
        <v>2127</v>
      </c>
      <c r="M395" s="1477">
        <v>5.2531000000000001E-2</v>
      </c>
      <c r="N395" s="1478">
        <v>1.1462548295462773</v>
      </c>
      <c r="O395" s="1478">
        <v>1.1462548295462773</v>
      </c>
    </row>
    <row r="396" spans="2:15">
      <c r="B396" s="1390">
        <v>44470</v>
      </c>
      <c r="C396" s="1391">
        <v>1091.2829999999999</v>
      </c>
      <c r="D396" s="1391">
        <v>6018.51</v>
      </c>
      <c r="E396" s="1391">
        <v>1.0048599610251685</v>
      </c>
      <c r="F396" s="1391">
        <v>62.34644398173571</v>
      </c>
      <c r="K396" s="1475">
        <v>42453</v>
      </c>
      <c r="L396" s="1476" t="s">
        <v>2127</v>
      </c>
      <c r="M396" s="1477">
        <v>5.2531000000000001E-2</v>
      </c>
      <c r="N396" s="1478">
        <v>1.1468569686707863</v>
      </c>
      <c r="O396" s="1478">
        <v>1.1468569686707863</v>
      </c>
    </row>
    <row r="397" spans="2:15">
      <c r="B397" s="1390">
        <v>44501</v>
      </c>
      <c r="C397" s="1391">
        <v>1091.4829999999999</v>
      </c>
      <c r="D397" s="1391">
        <v>6075.69</v>
      </c>
      <c r="E397" s="1391">
        <v>1.0058674909390046</v>
      </c>
      <c r="F397" s="1391">
        <v>62.712261176877703</v>
      </c>
      <c r="K397" s="1475">
        <v>42454</v>
      </c>
      <c r="L397" s="1476"/>
      <c r="M397" s="1477">
        <v>0</v>
      </c>
      <c r="N397" s="1478">
        <v>1.1468569686707863</v>
      </c>
      <c r="O397" s="1478">
        <v>1.1468569686707863</v>
      </c>
    </row>
    <row r="398" spans="2:15">
      <c r="B398" s="1390">
        <v>44531</v>
      </c>
      <c r="C398" s="1391">
        <v>1100.9880000000001</v>
      </c>
      <c r="D398" s="1391">
        <v>6120.04</v>
      </c>
      <c r="E398" s="1391">
        <v>1.0076908308186336</v>
      </c>
      <c r="F398" s="1391">
        <v>63.194570567843037</v>
      </c>
      <c r="K398" s="1475">
        <v>42455</v>
      </c>
      <c r="L398" s="1476"/>
      <c r="M398" s="1477">
        <v>0</v>
      </c>
      <c r="N398" s="1478">
        <v>1.1468569686707863</v>
      </c>
      <c r="O398" s="1478">
        <v>1.1468569686707863</v>
      </c>
    </row>
    <row r="399" spans="2:15">
      <c r="B399" s="1390">
        <v>44562</v>
      </c>
      <c r="C399" s="1391">
        <v>1120.999</v>
      </c>
      <c r="D399" s="1391">
        <v>6153.09</v>
      </c>
      <c r="E399" s="1391">
        <v>1.0073227032460901</v>
      </c>
      <c r="F399" s="1391">
        <v>63.65732565487545</v>
      </c>
      <c r="K399" s="1475">
        <v>42456</v>
      </c>
      <c r="L399" s="1476"/>
      <c r="M399" s="1477">
        <v>0</v>
      </c>
      <c r="N399" s="1478">
        <v>1.1468569686707863</v>
      </c>
      <c r="O399" s="1478">
        <v>1.1468569686707863</v>
      </c>
    </row>
    <row r="400" spans="2:15">
      <c r="B400" s="1390">
        <v>44593</v>
      </c>
      <c r="C400" s="1391">
        <v>1141.546</v>
      </c>
      <c r="D400" s="1391">
        <v>6215.24</v>
      </c>
      <c r="E400" s="1391">
        <v>1.0075504098703885</v>
      </c>
      <c r="F400" s="1391">
        <v>64.13796455482256</v>
      </c>
      <c r="K400" s="1475">
        <v>42457</v>
      </c>
      <c r="L400" s="1476" t="s">
        <v>2127</v>
      </c>
      <c r="M400" s="1477">
        <v>5.2531000000000001E-2</v>
      </c>
      <c r="N400" s="1478">
        <v>1.1474594241049989</v>
      </c>
      <c r="O400" s="1478">
        <v>1.1474594241049989</v>
      </c>
    </row>
    <row r="401" spans="2:15">
      <c r="B401" s="1390">
        <v>44621</v>
      </c>
      <c r="C401" s="1391">
        <v>1161.4179999999999</v>
      </c>
      <c r="D401" s="1391">
        <v>6315.93</v>
      </c>
      <c r="E401" s="1391">
        <v>1.0092705386289318</v>
      </c>
      <c r="F401" s="1391">
        <v>64.732558032809095</v>
      </c>
      <c r="K401" s="1475">
        <v>42458</v>
      </c>
      <c r="L401" s="1476" t="s">
        <v>2127</v>
      </c>
      <c r="M401" s="1477">
        <v>5.2531000000000001E-2</v>
      </c>
      <c r="N401" s="1478">
        <v>1.1480621960150754</v>
      </c>
      <c r="O401" s="1478">
        <v>1.1480621960150754</v>
      </c>
    </row>
    <row r="402" spans="2:15">
      <c r="B402" s="1390">
        <v>44652</v>
      </c>
      <c r="C402" s="1391">
        <v>1177.809</v>
      </c>
      <c r="D402" s="1391">
        <v>6382.88</v>
      </c>
      <c r="E402" s="1391">
        <v>1.0083432052372134</v>
      </c>
      <c r="F402" s="1391">
        <v>65.272635050006656</v>
      </c>
      <c r="K402" s="1475">
        <v>42459</v>
      </c>
      <c r="L402" s="1476" t="s">
        <v>2127</v>
      </c>
      <c r="M402" s="1477">
        <v>5.2531000000000001E-2</v>
      </c>
      <c r="N402" s="1478">
        <v>1.148665284567264</v>
      </c>
      <c r="O402" s="1478">
        <v>1.148665284567264</v>
      </c>
    </row>
    <row r="403" spans="2:15">
      <c r="B403" s="1390">
        <v>44682</v>
      </c>
      <c r="C403" s="1391">
        <v>1183.953</v>
      </c>
      <c r="D403" s="1391">
        <v>6412.88</v>
      </c>
      <c r="E403" s="1391">
        <v>1.0103459230153136</v>
      </c>
      <c r="F403" s="1391">
        <v>65.947940707240676</v>
      </c>
      <c r="K403" s="1475">
        <v>42460</v>
      </c>
      <c r="L403" s="1476" t="s">
        <v>2127</v>
      </c>
      <c r="M403" s="1477">
        <v>5.2531000000000001E-2</v>
      </c>
      <c r="N403" s="1478">
        <v>1.1492686899279001</v>
      </c>
      <c r="O403" s="1478">
        <v>1.1492686899279001</v>
      </c>
    </row>
    <row r="404" spans="2:15">
      <c r="B404" s="1390">
        <v>44713</v>
      </c>
      <c r="C404" s="1391">
        <v>1190.8820000000001</v>
      </c>
      <c r="D404" s="1391">
        <v>6455.85</v>
      </c>
      <c r="E404" s="1391">
        <v>1.0101531560893695</v>
      </c>
      <c r="F404" s="1391">
        <v>66.617520443013774</v>
      </c>
      <c r="K404" s="1475">
        <v>42461</v>
      </c>
      <c r="L404" s="1476" t="s">
        <v>2127</v>
      </c>
      <c r="M404" s="1477">
        <v>5.2531000000000001E-2</v>
      </c>
      <c r="N404" s="1478">
        <v>1.1498724122634061</v>
      </c>
      <c r="O404" s="1478">
        <v>1.1498724122634061</v>
      </c>
    </row>
    <row r="405" spans="2:15">
      <c r="B405" s="1390">
        <v>44743</v>
      </c>
      <c r="C405" s="1391">
        <v>1193.337</v>
      </c>
      <c r="D405" s="1391">
        <v>6411.95</v>
      </c>
      <c r="E405" s="1391">
        <v>1.0103484243492924</v>
      </c>
      <c r="F405" s="1391">
        <v>67.306906813655743</v>
      </c>
      <c r="K405" s="1475">
        <v>42462</v>
      </c>
      <c r="L405" s="1476"/>
      <c r="M405" s="1477">
        <v>0</v>
      </c>
      <c r="N405" s="1478">
        <v>1.1498724122634061</v>
      </c>
      <c r="O405" s="1478">
        <v>1.1498724122634061</v>
      </c>
    </row>
    <row r="406" spans="2:15">
      <c r="B406" s="1390">
        <v>44774</v>
      </c>
      <c r="C406" s="1391">
        <v>1185.0039999999999</v>
      </c>
      <c r="D406" s="1391">
        <v>6388.87</v>
      </c>
      <c r="E406" s="1391">
        <v>1.0116936128000631</v>
      </c>
      <c r="F406" s="1391">
        <v>68.093967720704555</v>
      </c>
      <c r="K406" s="1475">
        <v>42463</v>
      </c>
      <c r="L406" s="1476"/>
      <c r="M406" s="1477">
        <v>0</v>
      </c>
      <c r="N406" s="1478">
        <v>1.1498724122634061</v>
      </c>
      <c r="O406" s="1478">
        <v>1.1498724122634061</v>
      </c>
    </row>
    <row r="407" spans="2:15">
      <c r="B407" s="1390">
        <v>44805</v>
      </c>
      <c r="C407" s="1391">
        <v>1188.5886370999999</v>
      </c>
      <c r="D407" s="1391">
        <v>6404.6441200300005</v>
      </c>
      <c r="E407" s="1391">
        <v>1.010719822473549</v>
      </c>
      <c r="F407" s="1391">
        <v>68.823922966190082</v>
      </c>
      <c r="K407" s="1475">
        <v>42464</v>
      </c>
      <c r="L407" s="1476" t="s">
        <v>2127</v>
      </c>
      <c r="M407" s="1477">
        <v>5.2531000000000001E-2</v>
      </c>
      <c r="N407" s="1478">
        <v>1.1504764517402921</v>
      </c>
      <c r="O407" s="1478">
        <v>1.1504764517402921</v>
      </c>
    </row>
    <row r="408" spans="2:15">
      <c r="B408" s="1390">
        <v>44835</v>
      </c>
      <c r="C408" s="1391">
        <v>1195.4598680110751</v>
      </c>
      <c r="D408" s="1391">
        <v>6437.1220703626732</v>
      </c>
      <c r="E408" s="1391">
        <v>1.0102067586649579</v>
      </c>
      <c r="F408" s="1391">
        <v>69.526392138281636</v>
      </c>
      <c r="K408" s="1475">
        <v>42465</v>
      </c>
      <c r="L408" s="1476" t="s">
        <v>2127</v>
      </c>
      <c r="M408" s="1477">
        <v>5.2531000000000001E-2</v>
      </c>
      <c r="N408" s="1478">
        <v>1.1510808085251558</v>
      </c>
      <c r="O408" s="1478">
        <v>1.1510808085251558</v>
      </c>
    </row>
    <row r="409" spans="2:15">
      <c r="B409" s="1390">
        <v>44866</v>
      </c>
      <c r="C409" s="1391">
        <v>1202.90399660918</v>
      </c>
      <c r="D409" s="1391">
        <v>6470.2603747808998</v>
      </c>
      <c r="E409" s="1391">
        <v>1.0102067586649579</v>
      </c>
      <c r="F409" s="1391">
        <v>70.236031243682305</v>
      </c>
      <c r="K409" s="1475">
        <v>42466</v>
      </c>
      <c r="L409" s="1476" t="s">
        <v>2127</v>
      </c>
      <c r="M409" s="1477">
        <v>5.2531000000000001E-2</v>
      </c>
      <c r="N409" s="1478">
        <v>1.1516854827846821</v>
      </c>
      <c r="O409" s="1478">
        <v>1.1516854827846821</v>
      </c>
    </row>
    <row r="410" spans="2:15">
      <c r="B410" s="1390">
        <v>44896</v>
      </c>
      <c r="C410" s="1391">
        <v>1210.0636811969978</v>
      </c>
      <c r="D410" s="1391">
        <v>6518.3732309277702</v>
      </c>
      <c r="E410" s="1391">
        <v>1.0112331468569864</v>
      </c>
      <c r="F410" s="1391">
        <v>71.02500289729447</v>
      </c>
      <c r="K410" s="1475">
        <v>42467</v>
      </c>
      <c r="L410" s="1476" t="s">
        <v>2127</v>
      </c>
      <c r="M410" s="1477">
        <v>5.2531000000000001E-2</v>
      </c>
      <c r="N410" s="1478">
        <v>1.1522904746856437</v>
      </c>
      <c r="O410" s="1478">
        <v>1.1522904746856437</v>
      </c>
    </row>
    <row r="411" spans="2:15">
      <c r="B411" s="1390">
        <v>44927</v>
      </c>
      <c r="C411" s="1391">
        <v>1216.2204852069281</v>
      </c>
      <c r="D411" s="1391">
        <v>6562.8546098556208</v>
      </c>
      <c r="E411" s="1391">
        <v>1.0112331468569866</v>
      </c>
      <c r="F411" s="1391">
        <v>71.822837185357685</v>
      </c>
      <c r="K411" s="1475">
        <v>42468</v>
      </c>
      <c r="L411" s="1476" t="s">
        <v>2127</v>
      </c>
      <c r="M411" s="1477">
        <v>5.2531000000000001E-2</v>
      </c>
      <c r="N411" s="1478">
        <v>1.1528957843949008</v>
      </c>
      <c r="O411" s="1478">
        <v>1.1528957843949008</v>
      </c>
    </row>
    <row r="412" spans="2:15">
      <c r="B412" s="1390">
        <v>44958</v>
      </c>
      <c r="C412" s="1391">
        <v>1221.2130702987026</v>
      </c>
      <c r="D412" s="1391">
        <v>6605.2243992168487</v>
      </c>
      <c r="E412" s="1391">
        <v>1.0091814122432907</v>
      </c>
      <c r="F412" s="1391">
        <v>72.482272262039203</v>
      </c>
      <c r="K412" s="1475">
        <v>42469</v>
      </c>
      <c r="L412" s="1476"/>
      <c r="M412" s="1477">
        <v>0</v>
      </c>
      <c r="N412" s="1478">
        <v>1.1528957843949008</v>
      </c>
      <c r="O412" s="1478">
        <v>1.1528957843949008</v>
      </c>
    </row>
    <row r="413" spans="2:15">
      <c r="B413" s="1390">
        <v>44986</v>
      </c>
      <c r="C413" s="1391">
        <v>1226.0405255655935</v>
      </c>
      <c r="D413" s="1391">
        <v>6636.5860046643302</v>
      </c>
      <c r="E413" s="1391">
        <v>1.0117467319476126</v>
      </c>
      <c r="F413" s="1391">
        <v>73.333702085255254</v>
      </c>
      <c r="K413" s="1475">
        <v>42470</v>
      </c>
      <c r="L413" s="1476"/>
      <c r="M413" s="1477">
        <v>0</v>
      </c>
      <c r="N413" s="1478">
        <v>1.1528957843949008</v>
      </c>
      <c r="O413" s="1478">
        <v>1.1528957843949008</v>
      </c>
    </row>
    <row r="414" spans="2:15">
      <c r="B414" s="1390">
        <v>45017</v>
      </c>
      <c r="C414" s="1391">
        <v>1230.1955769067354</v>
      </c>
      <c r="D414" s="1391">
        <v>6667.1143002857852</v>
      </c>
      <c r="E414" s="1391">
        <v>1.0091814122432907</v>
      </c>
      <c r="F414" s="1391">
        <v>74.007009035426648</v>
      </c>
      <c r="K414" s="1475">
        <v>42471</v>
      </c>
      <c r="L414" s="1476" t="s">
        <v>2127</v>
      </c>
      <c r="M414" s="1477">
        <v>5.2531000000000001E-2</v>
      </c>
      <c r="N414" s="1478">
        <v>1.1535014120794014</v>
      </c>
      <c r="O414" s="1478">
        <v>1.1535014120794014</v>
      </c>
    </row>
    <row r="415" spans="2:15">
      <c r="B415" s="1390">
        <v>45047</v>
      </c>
      <c r="C415" s="1391">
        <v>1233.7926687736106</v>
      </c>
      <c r="D415" s="1391">
        <v>6689.8024902496581</v>
      </c>
      <c r="E415" s="1391">
        <v>1.0112331468569866</v>
      </c>
      <c r="F415" s="1391">
        <v>74.838340636367931</v>
      </c>
      <c r="K415" s="1475">
        <v>42472</v>
      </c>
      <c r="L415" s="1476" t="s">
        <v>2127</v>
      </c>
      <c r="M415" s="1477">
        <v>5.2531000000000001E-2</v>
      </c>
      <c r="N415" s="1478">
        <v>1.1541073579061809</v>
      </c>
      <c r="O415" s="1478">
        <v>1.1541073579061809</v>
      </c>
    </row>
    <row r="416" spans="2:15">
      <c r="B416" s="1390">
        <v>45078</v>
      </c>
      <c r="C416" s="1391">
        <v>1238.0924362242865</v>
      </c>
      <c r="D416" s="1391">
        <v>6710.8887476989257</v>
      </c>
      <c r="E416" s="1391">
        <v>1.010719822473549</v>
      </c>
      <c r="F416" s="1391">
        <v>75.64059436220478</v>
      </c>
      <c r="K416" s="1475">
        <v>42473</v>
      </c>
      <c r="L416" s="1476" t="s">
        <v>2127</v>
      </c>
      <c r="M416" s="1477">
        <v>5.2531000000000001E-2</v>
      </c>
      <c r="N416" s="1478">
        <v>1.1547136220423626</v>
      </c>
      <c r="O416" s="1478">
        <v>1.1547136220423626</v>
      </c>
    </row>
    <row r="417" spans="2:15">
      <c r="B417" s="1390">
        <v>45108</v>
      </c>
      <c r="C417" s="1391">
        <v>1241.6878566590819</v>
      </c>
      <c r="D417" s="1391">
        <v>6731.658948373054</v>
      </c>
      <c r="E417" s="1391">
        <v>1.0107198224735483</v>
      </c>
      <c r="F417" s="1391">
        <v>76.451448105561298</v>
      </c>
      <c r="K417" s="1475">
        <v>42474</v>
      </c>
      <c r="L417" s="1476" t="s">
        <v>2127</v>
      </c>
      <c r="M417" s="1477">
        <v>5.2531000000000001E-2</v>
      </c>
      <c r="N417" s="1478">
        <v>1.1553202046551576</v>
      </c>
      <c r="O417" s="1478">
        <v>1.1553202046551576</v>
      </c>
    </row>
    <row r="418" spans="2:15">
      <c r="B418" s="1390">
        <v>45139</v>
      </c>
      <c r="C418" s="1391">
        <v>1245.6153153496946</v>
      </c>
      <c r="D418" s="1391">
        <v>6747.6399067164921</v>
      </c>
      <c r="E418" s="1391">
        <v>1.0117467319476126</v>
      </c>
      <c r="F418" s="1391">
        <v>77.349502773464138</v>
      </c>
      <c r="K418" s="1475">
        <v>42475</v>
      </c>
      <c r="L418" s="1476" t="s">
        <v>2127</v>
      </c>
      <c r="M418" s="1477">
        <v>5.2531000000000001E-2</v>
      </c>
      <c r="N418" s="1478">
        <v>1.155927105911865</v>
      </c>
      <c r="O418" s="1478">
        <v>1.155927105911865</v>
      </c>
    </row>
    <row r="419" spans="2:15">
      <c r="B419" s="1390">
        <v>45170</v>
      </c>
      <c r="C419" s="1391">
        <v>1251.1570578876854</v>
      </c>
      <c r="D419" s="1391">
        <v>6769.6169698926678</v>
      </c>
      <c r="E419" s="1391">
        <v>1.0102067586649579</v>
      </c>
      <c r="F419" s="1391">
        <v>78.138990481127379</v>
      </c>
      <c r="K419" s="1475">
        <v>42476</v>
      </c>
      <c r="L419" s="1476"/>
      <c r="M419" s="1477">
        <v>0</v>
      </c>
      <c r="N419" s="1478">
        <v>1.155927105911865</v>
      </c>
      <c r="O419" s="1478">
        <v>1.155927105911865</v>
      </c>
    </row>
    <row r="420" spans="2:15">
      <c r="B420" s="1390">
        <v>45200</v>
      </c>
      <c r="C420" s="1391">
        <v>1257.0750307714941</v>
      </c>
      <c r="D420" s="1391">
        <v>6796.3637265407142</v>
      </c>
      <c r="E420" s="1391">
        <v>1.0107198224735487</v>
      </c>
      <c r="F420" s="1391">
        <v>78.976626587347383</v>
      </c>
      <c r="K420" s="1475">
        <v>42477</v>
      </c>
      <c r="L420" s="1476"/>
      <c r="M420" s="1477">
        <v>0</v>
      </c>
      <c r="N420" s="1478">
        <v>1.155927105911865</v>
      </c>
      <c r="O420" s="1478">
        <v>1.155927105911865</v>
      </c>
    </row>
    <row r="421" spans="2:15">
      <c r="B421" s="1390">
        <v>45231</v>
      </c>
      <c r="C421" s="1391">
        <v>1262.6702717334581</v>
      </c>
      <c r="D421" s="1391">
        <v>6821.4830868740082</v>
      </c>
      <c r="E421" s="1391">
        <v>1.0102067586649577</v>
      </c>
      <c r="F421" s="1391">
        <v>79.782721955096918</v>
      </c>
      <c r="K421" s="1475">
        <v>42478</v>
      </c>
      <c r="L421" s="1476" t="s">
        <v>2127</v>
      </c>
      <c r="M421" s="1477">
        <v>5.2531000000000001E-2</v>
      </c>
      <c r="N421" s="1478">
        <v>1.1565343259798715</v>
      </c>
      <c r="O421" s="1478">
        <v>1.1565343259798715</v>
      </c>
    </row>
    <row r="422" spans="2:15">
      <c r="B422" s="1390">
        <v>45261</v>
      </c>
      <c r="C422" s="1391">
        <v>1268.1742514479442</v>
      </c>
      <c r="D422" s="1391">
        <v>6857.9166280410027</v>
      </c>
      <c r="E422" s="1391">
        <v>1.0102067586649579</v>
      </c>
      <c r="F422" s="1391">
        <v>80.597044943726033</v>
      </c>
      <c r="K422" s="1475">
        <v>42479</v>
      </c>
      <c r="L422" s="1476" t="s">
        <v>2127</v>
      </c>
      <c r="M422" s="1477">
        <v>5.2531000000000001E-2</v>
      </c>
      <c r="N422" s="1478">
        <v>1.1571418650266521</v>
      </c>
      <c r="O422" s="1478">
        <v>1.1571418650266521</v>
      </c>
    </row>
    <row r="423" spans="2:15">
      <c r="B423" s="1390">
        <v>45292</v>
      </c>
      <c r="C423" s="1391" t="e">
        <v>#N/A</v>
      </c>
      <c r="D423" s="1391" t="e">
        <v>#N/A</v>
      </c>
      <c r="E423" s="1391" t="e">
        <v>#N/A</v>
      </c>
      <c r="F423" s="1391" t="e">
        <f t="shared" ref="F423:F483" si="0">F422*E423</f>
        <v>#N/A</v>
      </c>
      <c r="K423" s="1475">
        <v>42480</v>
      </c>
      <c r="L423" s="1476" t="s">
        <v>2127</v>
      </c>
      <c r="M423" s="1477">
        <v>5.2531000000000001E-2</v>
      </c>
      <c r="N423" s="1478">
        <v>1.1577497232197693</v>
      </c>
      <c r="O423" s="1478">
        <v>1.1577497232197693</v>
      </c>
    </row>
    <row r="424" spans="2:15">
      <c r="B424" s="1390">
        <v>45323</v>
      </c>
      <c r="C424" s="1391" t="e">
        <v>#N/A</v>
      </c>
      <c r="D424" s="1391" t="e">
        <v>#N/A</v>
      </c>
      <c r="E424" s="1391" t="e">
        <v>#N/A</v>
      </c>
      <c r="F424" s="1391" t="e">
        <f t="shared" si="0"/>
        <v>#N/A</v>
      </c>
      <c r="K424" s="1475">
        <v>42481</v>
      </c>
      <c r="L424" s="1476"/>
      <c r="M424" s="1477">
        <v>0</v>
      </c>
      <c r="N424" s="1478">
        <v>1.1577497232197693</v>
      </c>
      <c r="O424" s="1478">
        <v>1.1577497232197693</v>
      </c>
    </row>
    <row r="425" spans="2:15">
      <c r="B425" s="1390">
        <v>45352</v>
      </c>
      <c r="C425" s="1391" t="e">
        <v>#N/A</v>
      </c>
      <c r="D425" s="1391" t="e">
        <v>#N/A</v>
      </c>
      <c r="E425" s="1391" t="e">
        <v>#N/A</v>
      </c>
      <c r="F425" s="1391" t="e">
        <f t="shared" si="0"/>
        <v>#N/A</v>
      </c>
      <c r="K425" s="1475">
        <v>42482</v>
      </c>
      <c r="L425" s="1476" t="s">
        <v>2127</v>
      </c>
      <c r="M425" s="1477">
        <v>5.2531000000000001E-2</v>
      </c>
      <c r="N425" s="1478">
        <v>1.1583579007268738</v>
      </c>
      <c r="O425" s="1478">
        <v>1.1583579007268738</v>
      </c>
    </row>
    <row r="426" spans="2:15">
      <c r="B426" s="1390">
        <v>45383</v>
      </c>
      <c r="C426" s="1391" t="e">
        <v>#N/A</v>
      </c>
      <c r="D426" s="1391" t="e">
        <v>#N/A</v>
      </c>
      <c r="E426" s="1391" t="e">
        <v>#N/A</v>
      </c>
      <c r="F426" s="1391" t="e">
        <f t="shared" si="0"/>
        <v>#N/A</v>
      </c>
      <c r="K426" s="1475">
        <v>42483</v>
      </c>
      <c r="L426" s="1476"/>
      <c r="M426" s="1477">
        <v>0</v>
      </c>
      <c r="N426" s="1478">
        <v>1.1583579007268738</v>
      </c>
      <c r="O426" s="1478">
        <v>1.1583579007268738</v>
      </c>
    </row>
    <row r="427" spans="2:15">
      <c r="B427" s="1390">
        <v>45413</v>
      </c>
      <c r="C427" s="1391" t="e">
        <v>#N/A</v>
      </c>
      <c r="D427" s="1391" t="e">
        <v>#N/A</v>
      </c>
      <c r="E427" s="1391" t="e">
        <v>#N/A</v>
      </c>
      <c r="F427" s="1391" t="e">
        <f t="shared" si="0"/>
        <v>#N/A</v>
      </c>
      <c r="K427" s="1475">
        <v>42484</v>
      </c>
      <c r="L427" s="1476"/>
      <c r="M427" s="1477">
        <v>0</v>
      </c>
      <c r="N427" s="1478">
        <v>1.1583579007268738</v>
      </c>
      <c r="O427" s="1478">
        <v>1.1583579007268738</v>
      </c>
    </row>
    <row r="428" spans="2:15">
      <c r="B428" s="1390">
        <v>45444</v>
      </c>
      <c r="C428" s="1391" t="e">
        <v>#N/A</v>
      </c>
      <c r="D428" s="1391" t="e">
        <v>#N/A</v>
      </c>
      <c r="E428" s="1391" t="e">
        <v>#N/A</v>
      </c>
      <c r="F428" s="1391" t="e">
        <f t="shared" si="0"/>
        <v>#N/A</v>
      </c>
      <c r="K428" s="1475">
        <v>42485</v>
      </c>
      <c r="L428" s="1476" t="s">
        <v>2127</v>
      </c>
      <c r="M428" s="1477">
        <v>5.2531000000000001E-2</v>
      </c>
      <c r="N428" s="1478">
        <v>1.1589663977157048</v>
      </c>
      <c r="O428" s="1478">
        <v>1.1589663977157048</v>
      </c>
    </row>
    <row r="429" spans="2:15">
      <c r="B429" s="1390">
        <v>45474</v>
      </c>
      <c r="C429" s="1391" t="e">
        <v>#N/A</v>
      </c>
      <c r="D429" s="1391" t="e">
        <v>#N/A</v>
      </c>
      <c r="E429" s="1391" t="e">
        <v>#N/A</v>
      </c>
      <c r="F429" s="1391" t="e">
        <f t="shared" si="0"/>
        <v>#N/A</v>
      </c>
      <c r="K429" s="1475">
        <v>42486</v>
      </c>
      <c r="L429" s="1476" t="s">
        <v>2127</v>
      </c>
      <c r="M429" s="1477">
        <v>5.2531000000000001E-2</v>
      </c>
      <c r="N429" s="1478">
        <v>1.1595752143540887</v>
      </c>
      <c r="O429" s="1478">
        <v>1.1595752143540887</v>
      </c>
    </row>
    <row r="430" spans="2:15">
      <c r="B430" s="1390">
        <v>45505</v>
      </c>
      <c r="C430" s="1391" t="e">
        <v>#N/A</v>
      </c>
      <c r="D430" s="1391" t="e">
        <v>#N/A</v>
      </c>
      <c r="E430" s="1391" t="e">
        <v>#N/A</v>
      </c>
      <c r="F430" s="1391" t="e">
        <f t="shared" si="0"/>
        <v>#N/A</v>
      </c>
      <c r="K430" s="1475">
        <v>42487</v>
      </c>
      <c r="L430" s="1476" t="s">
        <v>2127</v>
      </c>
      <c r="M430" s="1477">
        <v>5.2531000000000001E-2</v>
      </c>
      <c r="N430" s="1478">
        <v>1.160184350809941</v>
      </c>
      <c r="O430" s="1478">
        <v>1.160184350809941</v>
      </c>
    </row>
    <row r="431" spans="2:15">
      <c r="B431" s="1390">
        <v>45536</v>
      </c>
      <c r="C431" s="1391" t="e">
        <v>#N/A</v>
      </c>
      <c r="D431" s="1391" t="e">
        <v>#N/A</v>
      </c>
      <c r="E431" s="1391" t="e">
        <v>#N/A</v>
      </c>
      <c r="F431" s="1391" t="e">
        <f t="shared" si="0"/>
        <v>#N/A</v>
      </c>
      <c r="K431" s="1475">
        <v>42488</v>
      </c>
      <c r="L431" s="1476" t="s">
        <v>2127</v>
      </c>
      <c r="M431" s="1477">
        <v>5.2531000000000001E-2</v>
      </c>
      <c r="N431" s="1478">
        <v>1.1607938072512649</v>
      </c>
      <c r="O431" s="1478">
        <v>1.1607938072512649</v>
      </c>
    </row>
    <row r="432" spans="2:15">
      <c r="B432" s="1390">
        <v>45566</v>
      </c>
      <c r="C432" s="1391" t="e">
        <v>#N/A</v>
      </c>
      <c r="D432" s="1391" t="e">
        <v>#N/A</v>
      </c>
      <c r="E432" s="1391" t="e">
        <v>#N/A</v>
      </c>
      <c r="F432" s="1391" t="e">
        <f t="shared" si="0"/>
        <v>#N/A</v>
      </c>
      <c r="K432" s="1475">
        <v>42489</v>
      </c>
      <c r="L432" s="1476" t="s">
        <v>2127</v>
      </c>
      <c r="M432" s="1477">
        <v>5.2531000000000001E-2</v>
      </c>
      <c r="N432" s="1478">
        <v>1.1614035838461521</v>
      </c>
      <c r="O432" s="1478">
        <v>1.1614035838461521</v>
      </c>
    </row>
    <row r="433" spans="2:15">
      <c r="B433" s="1390">
        <v>45597</v>
      </c>
      <c r="C433" s="1391" t="e">
        <v>#N/A</v>
      </c>
      <c r="D433" s="1391" t="e">
        <v>#N/A</v>
      </c>
      <c r="E433" s="1391" t="e">
        <v>#N/A</v>
      </c>
      <c r="F433" s="1391" t="e">
        <f t="shared" si="0"/>
        <v>#N/A</v>
      </c>
      <c r="K433" s="1475">
        <v>42490</v>
      </c>
      <c r="L433" s="1476"/>
      <c r="M433" s="1477">
        <v>0</v>
      </c>
      <c r="N433" s="1478">
        <v>1.1614035838461521</v>
      </c>
      <c r="O433" s="1478">
        <v>1.1614035838461521</v>
      </c>
    </row>
    <row r="434" spans="2:15">
      <c r="B434" s="1390">
        <v>45627</v>
      </c>
      <c r="C434" s="1391" t="e">
        <v>#N/A</v>
      </c>
      <c r="D434" s="1391" t="e">
        <v>#N/A</v>
      </c>
      <c r="E434" s="1391" t="e">
        <v>#N/A</v>
      </c>
      <c r="F434" s="1391" t="e">
        <f t="shared" si="0"/>
        <v>#N/A</v>
      </c>
      <c r="K434" s="1475">
        <v>42491</v>
      </c>
      <c r="L434" s="1476"/>
      <c r="M434" s="1477">
        <v>0</v>
      </c>
      <c r="N434" s="1478">
        <v>1.1614035838461521</v>
      </c>
      <c r="O434" s="1478">
        <v>1.1614035838461521</v>
      </c>
    </row>
    <row r="435" spans="2:15">
      <c r="B435" s="1390">
        <v>45658</v>
      </c>
      <c r="C435" s="1391" t="e">
        <v>#N/A</v>
      </c>
      <c r="D435" s="1391" t="e">
        <v>#N/A</v>
      </c>
      <c r="E435" s="1391" t="e">
        <v>#N/A</v>
      </c>
      <c r="F435" s="1391" t="e">
        <f t="shared" si="0"/>
        <v>#N/A</v>
      </c>
      <c r="K435" s="1475">
        <v>42492</v>
      </c>
      <c r="L435" s="1476" t="s">
        <v>2127</v>
      </c>
      <c r="M435" s="1477">
        <v>5.2531000000000001E-2</v>
      </c>
      <c r="N435" s="1478">
        <v>1.1620136807627823</v>
      </c>
      <c r="O435" s="1478">
        <v>1.1620136807627823</v>
      </c>
    </row>
    <row r="436" spans="2:15">
      <c r="B436" s="1390">
        <v>45689</v>
      </c>
      <c r="C436" s="1391" t="e">
        <v>#N/A</v>
      </c>
      <c r="D436" s="1391" t="e">
        <v>#N/A</v>
      </c>
      <c r="E436" s="1391" t="e">
        <v>#N/A</v>
      </c>
      <c r="F436" s="1391" t="e">
        <f t="shared" si="0"/>
        <v>#N/A</v>
      </c>
      <c r="K436" s="1475">
        <v>42493</v>
      </c>
      <c r="L436" s="1476" t="s">
        <v>2127</v>
      </c>
      <c r="M436" s="1477">
        <v>5.2531000000000001E-2</v>
      </c>
      <c r="N436" s="1478">
        <v>1.1626240981694238</v>
      </c>
      <c r="O436" s="1478">
        <v>1.1626240981694238</v>
      </c>
    </row>
    <row r="437" spans="2:15">
      <c r="B437" s="1390">
        <v>45717</v>
      </c>
      <c r="C437" s="1391" t="e">
        <v>#N/A</v>
      </c>
      <c r="D437" s="1391" t="e">
        <v>#N/A</v>
      </c>
      <c r="E437" s="1391" t="e">
        <v>#N/A</v>
      </c>
      <c r="F437" s="1391" t="e">
        <f t="shared" si="0"/>
        <v>#N/A</v>
      </c>
      <c r="K437" s="1475">
        <v>42494</v>
      </c>
      <c r="L437" s="1476" t="s">
        <v>2127</v>
      </c>
      <c r="M437" s="1477">
        <v>5.2531000000000001E-2</v>
      </c>
      <c r="N437" s="1478">
        <v>1.1632348362344331</v>
      </c>
      <c r="O437" s="1478">
        <v>1.1632348362344331</v>
      </c>
    </row>
    <row r="438" spans="2:15">
      <c r="B438" s="1390">
        <v>45748</v>
      </c>
      <c r="C438" s="1391" t="e">
        <v>#N/A</v>
      </c>
      <c r="D438" s="1391" t="e">
        <v>#N/A</v>
      </c>
      <c r="E438" s="1391" t="e">
        <v>#N/A</v>
      </c>
      <c r="F438" s="1391" t="e">
        <f t="shared" si="0"/>
        <v>#N/A</v>
      </c>
      <c r="K438" s="1475">
        <v>42495</v>
      </c>
      <c r="L438" s="1476" t="s">
        <v>2127</v>
      </c>
      <c r="M438" s="1477">
        <v>5.2531000000000001E-2</v>
      </c>
      <c r="N438" s="1478">
        <v>1.1638458951262554</v>
      </c>
      <c r="O438" s="1478">
        <v>1.1638458951262554</v>
      </c>
    </row>
    <row r="439" spans="2:15">
      <c r="B439" s="1390">
        <v>45778</v>
      </c>
      <c r="C439" s="1391" t="e">
        <v>#N/A</v>
      </c>
      <c r="D439" s="1391" t="e">
        <v>#N/A</v>
      </c>
      <c r="E439" s="1391" t="e">
        <v>#N/A</v>
      </c>
      <c r="F439" s="1391" t="e">
        <f t="shared" si="0"/>
        <v>#N/A</v>
      </c>
      <c r="K439" s="1475">
        <v>42496</v>
      </c>
      <c r="L439" s="1476" t="s">
        <v>2127</v>
      </c>
      <c r="M439" s="1477">
        <v>5.2531000000000001E-2</v>
      </c>
      <c r="N439" s="1478">
        <v>1.1644572750134241</v>
      </c>
      <c r="O439" s="1478">
        <v>1.1644572750134241</v>
      </c>
    </row>
    <row r="440" spans="2:15">
      <c r="B440" s="1390">
        <v>45809</v>
      </c>
      <c r="C440" s="1391" t="e">
        <v>#N/A</v>
      </c>
      <c r="D440" s="1391" t="e">
        <v>#N/A</v>
      </c>
      <c r="E440" s="1391" t="e">
        <v>#N/A</v>
      </c>
      <c r="F440" s="1391" t="e">
        <f t="shared" si="0"/>
        <v>#N/A</v>
      </c>
      <c r="K440" s="1475">
        <v>42497</v>
      </c>
      <c r="L440" s="1476"/>
      <c r="M440" s="1477">
        <v>0</v>
      </c>
      <c r="N440" s="1478">
        <v>1.1644572750134241</v>
      </c>
      <c r="O440" s="1478">
        <v>1.1644572750134241</v>
      </c>
    </row>
    <row r="441" spans="2:15">
      <c r="B441" s="1390">
        <v>45839</v>
      </c>
      <c r="C441" s="1391" t="e">
        <v>#N/A</v>
      </c>
      <c r="D441" s="1391" t="e">
        <v>#N/A</v>
      </c>
      <c r="E441" s="1391" t="e">
        <v>#N/A</v>
      </c>
      <c r="F441" s="1391" t="e">
        <f t="shared" si="0"/>
        <v>#N/A</v>
      </c>
      <c r="K441" s="1475">
        <v>42498</v>
      </c>
      <c r="L441" s="1476"/>
      <c r="M441" s="1477">
        <v>0</v>
      </c>
      <c r="N441" s="1478">
        <v>1.1644572750134241</v>
      </c>
      <c r="O441" s="1478">
        <v>1.1644572750134241</v>
      </c>
    </row>
    <row r="442" spans="2:15">
      <c r="B442" s="1390">
        <v>45870</v>
      </c>
      <c r="C442" s="1391" t="e">
        <v>#N/A</v>
      </c>
      <c r="D442" s="1391" t="e">
        <v>#N/A</v>
      </c>
      <c r="E442" s="1391" t="e">
        <v>#N/A</v>
      </c>
      <c r="F442" s="1391" t="e">
        <f t="shared" si="0"/>
        <v>#N/A</v>
      </c>
      <c r="K442" s="1475">
        <v>42499</v>
      </c>
      <c r="L442" s="1476" t="s">
        <v>2127</v>
      </c>
      <c r="M442" s="1477">
        <v>5.2531000000000001E-2</v>
      </c>
      <c r="N442" s="1478">
        <v>1.1650689760645614</v>
      </c>
      <c r="O442" s="1478">
        <v>1.1650689760645614</v>
      </c>
    </row>
    <row r="443" spans="2:15">
      <c r="B443" s="1390">
        <v>45901</v>
      </c>
      <c r="C443" s="1391" t="e">
        <v>#N/A</v>
      </c>
      <c r="D443" s="1391" t="e">
        <v>#N/A</v>
      </c>
      <c r="E443" s="1391" t="e">
        <v>#N/A</v>
      </c>
      <c r="F443" s="1391" t="e">
        <f t="shared" si="0"/>
        <v>#N/A</v>
      </c>
      <c r="K443" s="1475">
        <v>42500</v>
      </c>
      <c r="L443" s="1476" t="s">
        <v>2127</v>
      </c>
      <c r="M443" s="1477">
        <v>5.2531000000000001E-2</v>
      </c>
      <c r="N443" s="1478">
        <v>1.1656809984483778</v>
      </c>
      <c r="O443" s="1478">
        <v>1.1656809984483778</v>
      </c>
    </row>
    <row r="444" spans="2:15">
      <c r="B444" s="1390">
        <v>45931</v>
      </c>
      <c r="C444" s="1391" t="e">
        <v>#N/A</v>
      </c>
      <c r="D444" s="1391" t="e">
        <v>#N/A</v>
      </c>
      <c r="E444" s="1391" t="e">
        <v>#N/A</v>
      </c>
      <c r="F444" s="1391" t="e">
        <f t="shared" si="0"/>
        <v>#N/A</v>
      </c>
      <c r="K444" s="1475">
        <v>42501</v>
      </c>
      <c r="L444" s="1476" t="s">
        <v>2127</v>
      </c>
      <c r="M444" s="1477">
        <v>5.2531000000000001E-2</v>
      </c>
      <c r="N444" s="1478">
        <v>1.1662933423336728</v>
      </c>
      <c r="O444" s="1478">
        <v>1.1662933423336728</v>
      </c>
    </row>
    <row r="445" spans="2:15">
      <c r="B445" s="1390">
        <v>45962</v>
      </c>
      <c r="C445" s="1391" t="e">
        <v>#N/A</v>
      </c>
      <c r="D445" s="1391" t="e">
        <v>#N/A</v>
      </c>
      <c r="E445" s="1391" t="e">
        <v>#N/A</v>
      </c>
      <c r="F445" s="1391" t="e">
        <f t="shared" si="0"/>
        <v>#N/A</v>
      </c>
      <c r="K445" s="1475">
        <v>42502</v>
      </c>
      <c r="L445" s="1476" t="s">
        <v>2127</v>
      </c>
      <c r="M445" s="1477">
        <v>5.2531000000000001E-2</v>
      </c>
      <c r="N445" s="1478">
        <v>1.1669060078893341</v>
      </c>
      <c r="O445" s="1478">
        <v>1.1669060078893341</v>
      </c>
    </row>
    <row r="446" spans="2:15">
      <c r="B446" s="1390">
        <v>45992</v>
      </c>
      <c r="C446" s="1391" t="e">
        <v>#N/A</v>
      </c>
      <c r="D446" s="1391" t="e">
        <v>#N/A</v>
      </c>
      <c r="E446" s="1391" t="e">
        <v>#N/A</v>
      </c>
      <c r="F446" s="1391" t="e">
        <f t="shared" si="0"/>
        <v>#N/A</v>
      </c>
      <c r="K446" s="1475">
        <v>42503</v>
      </c>
      <c r="L446" s="1476" t="s">
        <v>2127</v>
      </c>
      <c r="M446" s="1477">
        <v>5.2531000000000001E-2</v>
      </c>
      <c r="N446" s="1478">
        <v>1.1675189952843383</v>
      </c>
      <c r="O446" s="1478">
        <v>1.1675189952843383</v>
      </c>
    </row>
    <row r="447" spans="2:15">
      <c r="B447" s="1390">
        <v>46023</v>
      </c>
      <c r="C447" s="1391" t="e">
        <v>#N/A</v>
      </c>
      <c r="D447" s="1391" t="e">
        <v>#N/A</v>
      </c>
      <c r="E447" s="1391" t="e">
        <v>#N/A</v>
      </c>
      <c r="F447" s="1391" t="e">
        <f t="shared" si="0"/>
        <v>#N/A</v>
      </c>
      <c r="K447" s="1475">
        <v>42504</v>
      </c>
      <c r="L447" s="1476"/>
      <c r="M447" s="1477">
        <v>0</v>
      </c>
      <c r="N447" s="1478">
        <v>1.1675189952843383</v>
      </c>
      <c r="O447" s="1478">
        <v>1.1675189952843383</v>
      </c>
    </row>
    <row r="448" spans="2:15">
      <c r="B448" s="1390">
        <v>46054</v>
      </c>
      <c r="C448" s="1391" t="e">
        <v>#N/A</v>
      </c>
      <c r="D448" s="1391" t="e">
        <v>#N/A</v>
      </c>
      <c r="E448" s="1391" t="e">
        <v>#N/A</v>
      </c>
      <c r="F448" s="1391" t="e">
        <f t="shared" si="0"/>
        <v>#N/A</v>
      </c>
      <c r="K448" s="1475">
        <v>42505</v>
      </c>
      <c r="L448" s="1476"/>
      <c r="M448" s="1477">
        <v>0</v>
      </c>
      <c r="N448" s="1478">
        <v>1.1675189952843383</v>
      </c>
      <c r="O448" s="1478">
        <v>1.1675189952843383</v>
      </c>
    </row>
    <row r="449" spans="2:15">
      <c r="B449" s="1390">
        <v>46082</v>
      </c>
      <c r="C449" s="1391" t="e">
        <v>#N/A</v>
      </c>
      <c r="D449" s="1391" t="e">
        <v>#N/A</v>
      </c>
      <c r="E449" s="1391" t="e">
        <v>#N/A</v>
      </c>
      <c r="F449" s="1391" t="e">
        <f t="shared" si="0"/>
        <v>#N/A</v>
      </c>
      <c r="K449" s="1475">
        <v>42506</v>
      </c>
      <c r="L449" s="1476" t="s">
        <v>2127</v>
      </c>
      <c r="M449" s="1477">
        <v>5.2531000000000001E-2</v>
      </c>
      <c r="N449" s="1478">
        <v>1.1681323046877512</v>
      </c>
      <c r="O449" s="1478">
        <v>1.1681323046877512</v>
      </c>
    </row>
    <row r="450" spans="2:15">
      <c r="B450" s="1390">
        <v>46113</v>
      </c>
      <c r="C450" s="1391" t="e">
        <v>#N/A</v>
      </c>
      <c r="D450" s="1391" t="e">
        <v>#N/A</v>
      </c>
      <c r="E450" s="1391" t="e">
        <v>#N/A</v>
      </c>
      <c r="F450" s="1391" t="e">
        <f t="shared" si="0"/>
        <v>#N/A</v>
      </c>
      <c r="K450" s="1475">
        <v>42507</v>
      </c>
      <c r="L450" s="1476" t="s">
        <v>2127</v>
      </c>
      <c r="M450" s="1477">
        <v>5.2531000000000001E-2</v>
      </c>
      <c r="N450" s="1478">
        <v>1.1687459362687267</v>
      </c>
      <c r="O450" s="1478">
        <v>1.1687459362687267</v>
      </c>
    </row>
    <row r="451" spans="2:15">
      <c r="B451" s="1390">
        <v>46143</v>
      </c>
      <c r="C451" s="1391" t="e">
        <v>#N/A</v>
      </c>
      <c r="D451" s="1391" t="e">
        <v>#N/A</v>
      </c>
      <c r="E451" s="1391" t="e">
        <v>#N/A</v>
      </c>
      <c r="F451" s="1391" t="e">
        <f t="shared" si="0"/>
        <v>#N/A</v>
      </c>
      <c r="K451" s="1475">
        <v>42508</v>
      </c>
      <c r="L451" s="1476" t="s">
        <v>2127</v>
      </c>
      <c r="M451" s="1477">
        <v>5.2531000000000001E-2</v>
      </c>
      <c r="N451" s="1478">
        <v>1.1693598901965081</v>
      </c>
      <c r="O451" s="1478">
        <v>1.1693598901965081</v>
      </c>
    </row>
    <row r="452" spans="2:15">
      <c r="B452" s="1390">
        <v>46174</v>
      </c>
      <c r="C452" s="1391" t="e">
        <v>#N/A</v>
      </c>
      <c r="D452" s="1391" t="e">
        <v>#N/A</v>
      </c>
      <c r="E452" s="1391" t="e">
        <v>#N/A</v>
      </c>
      <c r="F452" s="1391" t="e">
        <f t="shared" si="0"/>
        <v>#N/A</v>
      </c>
      <c r="K452" s="1475">
        <v>42509</v>
      </c>
      <c r="L452" s="1476" t="s">
        <v>2127</v>
      </c>
      <c r="M452" s="1477">
        <v>5.2531000000000001E-2</v>
      </c>
      <c r="N452" s="1478">
        <v>1.1699741666404273</v>
      </c>
      <c r="O452" s="1478">
        <v>1.1699741666404273</v>
      </c>
    </row>
    <row r="453" spans="2:15">
      <c r="B453" s="1390">
        <v>46204</v>
      </c>
      <c r="C453" s="1391" t="e">
        <v>#N/A</v>
      </c>
      <c r="D453" s="1391" t="e">
        <v>#N/A</v>
      </c>
      <c r="E453" s="1391" t="e">
        <v>#N/A</v>
      </c>
      <c r="F453" s="1391" t="e">
        <f t="shared" si="0"/>
        <v>#N/A</v>
      </c>
      <c r="K453" s="1475">
        <v>42510</v>
      </c>
      <c r="L453" s="1476" t="s">
        <v>2127</v>
      </c>
      <c r="M453" s="1477">
        <v>5.2531000000000001E-2</v>
      </c>
      <c r="N453" s="1478">
        <v>1.1705887657699052</v>
      </c>
      <c r="O453" s="1478">
        <v>1.1705887657699052</v>
      </c>
    </row>
    <row r="454" spans="2:15">
      <c r="B454" s="1390">
        <v>46235</v>
      </c>
      <c r="C454" s="1391" t="e">
        <v>#N/A</v>
      </c>
      <c r="D454" s="1391" t="e">
        <v>#N/A</v>
      </c>
      <c r="E454" s="1391" t="e">
        <v>#N/A</v>
      </c>
      <c r="F454" s="1391" t="e">
        <f t="shared" si="0"/>
        <v>#N/A</v>
      </c>
      <c r="K454" s="1475">
        <v>42511</v>
      </c>
      <c r="L454" s="1476"/>
      <c r="M454" s="1477">
        <v>0</v>
      </c>
      <c r="N454" s="1478">
        <v>1.1705887657699052</v>
      </c>
      <c r="O454" s="1478">
        <v>1.1705887657699052</v>
      </c>
    </row>
    <row r="455" spans="2:15">
      <c r="B455" s="1390">
        <v>46266</v>
      </c>
      <c r="C455" s="1391" t="e">
        <v>#N/A</v>
      </c>
      <c r="D455" s="1391" t="e">
        <v>#N/A</v>
      </c>
      <c r="E455" s="1391" t="e">
        <v>#N/A</v>
      </c>
      <c r="F455" s="1391" t="e">
        <f t="shared" si="0"/>
        <v>#N/A</v>
      </c>
      <c r="K455" s="1475">
        <v>42512</v>
      </c>
      <c r="L455" s="1476"/>
      <c r="M455" s="1477">
        <v>0</v>
      </c>
      <c r="N455" s="1478">
        <v>1.1705887657699052</v>
      </c>
      <c r="O455" s="1478">
        <v>1.1705887657699052</v>
      </c>
    </row>
    <row r="456" spans="2:15">
      <c r="B456" s="1390">
        <v>46296</v>
      </c>
      <c r="C456" s="1391" t="e">
        <v>#N/A</v>
      </c>
      <c r="D456" s="1391" t="e">
        <v>#N/A</v>
      </c>
      <c r="E456" s="1391" t="e">
        <v>#N/A</v>
      </c>
      <c r="F456" s="1391" t="e">
        <f t="shared" si="0"/>
        <v>#N/A</v>
      </c>
      <c r="K456" s="1475">
        <v>42513</v>
      </c>
      <c r="L456" s="1476" t="s">
        <v>2127</v>
      </c>
      <c r="M456" s="1477">
        <v>5.2531000000000001E-2</v>
      </c>
      <c r="N456" s="1478">
        <v>1.1712036877544518</v>
      </c>
      <c r="O456" s="1478">
        <v>1.1712036877544518</v>
      </c>
    </row>
    <row r="457" spans="2:15">
      <c r="B457" s="1390">
        <v>46327</v>
      </c>
      <c r="C457" s="1391" t="e">
        <v>#N/A</v>
      </c>
      <c r="D457" s="1391" t="e">
        <v>#N/A</v>
      </c>
      <c r="E457" s="1391" t="e">
        <v>#N/A</v>
      </c>
      <c r="F457" s="1391" t="e">
        <f t="shared" si="0"/>
        <v>#N/A</v>
      </c>
      <c r="K457" s="1475">
        <v>42514</v>
      </c>
      <c r="L457" s="1476" t="s">
        <v>2127</v>
      </c>
      <c r="M457" s="1477">
        <v>5.2531000000000001E-2</v>
      </c>
      <c r="N457" s="1478">
        <v>1.1718189327636661</v>
      </c>
      <c r="O457" s="1478">
        <v>1.1718189327636661</v>
      </c>
    </row>
    <row r="458" spans="2:15">
      <c r="B458" s="1390">
        <v>46357</v>
      </c>
      <c r="C458" s="1391" t="e">
        <v>#N/A</v>
      </c>
      <c r="D458" s="1391" t="e">
        <v>#N/A</v>
      </c>
      <c r="E458" s="1391" t="e">
        <v>#N/A</v>
      </c>
      <c r="F458" s="1391" t="e">
        <f t="shared" si="0"/>
        <v>#N/A</v>
      </c>
      <c r="K458" s="1475">
        <v>42515</v>
      </c>
      <c r="L458" s="1476" t="s">
        <v>2127</v>
      </c>
      <c r="M458" s="1477">
        <v>5.2531000000000001E-2</v>
      </c>
      <c r="N458" s="1478">
        <v>1.1724345009672361</v>
      </c>
      <c r="O458" s="1478">
        <v>1.1724345009672361</v>
      </c>
    </row>
    <row r="459" spans="2:15">
      <c r="B459" s="1390">
        <v>46388</v>
      </c>
      <c r="C459" s="1391" t="e">
        <v>#N/A</v>
      </c>
      <c r="D459" s="1391" t="e">
        <v>#N/A</v>
      </c>
      <c r="E459" s="1391" t="e">
        <v>#N/A</v>
      </c>
      <c r="F459" s="1391" t="e">
        <f t="shared" si="0"/>
        <v>#N/A</v>
      </c>
      <c r="K459" s="1475">
        <v>42516</v>
      </c>
      <c r="L459" s="1476"/>
      <c r="M459" s="1477">
        <v>0</v>
      </c>
      <c r="N459" s="1478">
        <v>1.1724345009672361</v>
      </c>
      <c r="O459" s="1478">
        <v>1.1724345009672361</v>
      </c>
    </row>
    <row r="460" spans="2:15">
      <c r="B460" s="1390">
        <v>46419</v>
      </c>
      <c r="C460" s="1391" t="e">
        <v>#N/A</v>
      </c>
      <c r="D460" s="1391" t="e">
        <v>#N/A</v>
      </c>
      <c r="E460" s="1391" t="e">
        <v>#N/A</v>
      </c>
      <c r="F460" s="1391" t="e">
        <f t="shared" si="0"/>
        <v>#N/A</v>
      </c>
      <c r="K460" s="1475">
        <v>42517</v>
      </c>
      <c r="L460" s="1476" t="s">
        <v>2127</v>
      </c>
      <c r="M460" s="1477">
        <v>5.2531000000000001E-2</v>
      </c>
      <c r="N460" s="1478">
        <v>1.1730503925349391</v>
      </c>
      <c r="O460" s="1478">
        <v>1.1730503925349391</v>
      </c>
    </row>
    <row r="461" spans="2:15">
      <c r="B461" s="1390">
        <v>46447</v>
      </c>
      <c r="C461" s="1391" t="e">
        <v>#N/A</v>
      </c>
      <c r="D461" s="1391" t="e">
        <v>#N/A</v>
      </c>
      <c r="E461" s="1391" t="e">
        <v>#N/A</v>
      </c>
      <c r="F461" s="1391" t="e">
        <f t="shared" si="0"/>
        <v>#N/A</v>
      </c>
      <c r="K461" s="1475">
        <v>42518</v>
      </c>
      <c r="L461" s="1476"/>
      <c r="M461" s="1477">
        <v>0</v>
      </c>
      <c r="N461" s="1478">
        <v>1.1730503925349391</v>
      </c>
      <c r="O461" s="1478">
        <v>1.1730503925349391</v>
      </c>
    </row>
    <row r="462" spans="2:15">
      <c r="B462" s="1390">
        <v>46478</v>
      </c>
      <c r="C462" s="1391" t="e">
        <v>#N/A</v>
      </c>
      <c r="D462" s="1391" t="e">
        <v>#N/A</v>
      </c>
      <c r="E462" s="1391" t="e">
        <v>#N/A</v>
      </c>
      <c r="F462" s="1391" t="e">
        <f t="shared" si="0"/>
        <v>#N/A</v>
      </c>
      <c r="K462" s="1475">
        <v>42519</v>
      </c>
      <c r="L462" s="1476"/>
      <c r="M462" s="1477">
        <v>0</v>
      </c>
      <c r="N462" s="1478">
        <v>1.1730503925349391</v>
      </c>
      <c r="O462" s="1478">
        <v>1.1730503925349391</v>
      </c>
    </row>
    <row r="463" spans="2:15">
      <c r="B463" s="1390">
        <v>46508</v>
      </c>
      <c r="C463" s="1391" t="e">
        <v>#N/A</v>
      </c>
      <c r="D463" s="1391" t="e">
        <v>#N/A</v>
      </c>
      <c r="E463" s="1391" t="e">
        <v>#N/A</v>
      </c>
      <c r="F463" s="1391" t="e">
        <f t="shared" si="0"/>
        <v>#N/A</v>
      </c>
      <c r="K463" s="1475">
        <v>42520</v>
      </c>
      <c r="L463" s="1476" t="s">
        <v>2127</v>
      </c>
      <c r="M463" s="1477">
        <v>5.2531000000000001E-2</v>
      </c>
      <c r="N463" s="1478">
        <v>1.1736666076366418</v>
      </c>
      <c r="O463" s="1478">
        <v>1.1736666076366418</v>
      </c>
    </row>
    <row r="464" spans="2:15">
      <c r="B464" s="1390">
        <v>46539</v>
      </c>
      <c r="C464" s="1391" t="e">
        <v>#N/A</v>
      </c>
      <c r="D464" s="1391" t="e">
        <v>#N/A</v>
      </c>
      <c r="E464" s="1391" t="e">
        <v>#N/A</v>
      </c>
      <c r="F464" s="1391" t="e">
        <f t="shared" si="0"/>
        <v>#N/A</v>
      </c>
      <c r="K464" s="1475">
        <v>42521</v>
      </c>
      <c r="L464" s="1476" t="s">
        <v>2127</v>
      </c>
      <c r="M464" s="1477">
        <v>5.2531000000000001E-2</v>
      </c>
      <c r="N464" s="1478">
        <v>1.1742831464422994</v>
      </c>
      <c r="O464" s="1478">
        <v>1.1742831464422994</v>
      </c>
    </row>
    <row r="465" spans="2:15">
      <c r="B465" s="1390">
        <v>46569</v>
      </c>
      <c r="C465" s="1391" t="e">
        <v>#N/A</v>
      </c>
      <c r="D465" s="1391" t="e">
        <v>#N/A</v>
      </c>
      <c r="E465" s="1391" t="e">
        <v>#N/A</v>
      </c>
      <c r="F465" s="1391" t="e">
        <f t="shared" si="0"/>
        <v>#N/A</v>
      </c>
      <c r="K465" s="1475">
        <v>42522</v>
      </c>
      <c r="L465" s="1476" t="s">
        <v>2127</v>
      </c>
      <c r="M465" s="1477">
        <v>5.2531000000000001E-2</v>
      </c>
      <c r="N465" s="1478">
        <v>1.174900009121957</v>
      </c>
      <c r="O465" s="1478">
        <v>1.174900009121957</v>
      </c>
    </row>
    <row r="466" spans="2:15">
      <c r="B466" s="1390">
        <v>46600</v>
      </c>
      <c r="C466" s="1391" t="e">
        <v>#N/A</v>
      </c>
      <c r="D466" s="1391" t="e">
        <v>#N/A</v>
      </c>
      <c r="E466" s="1391" t="e">
        <v>#N/A</v>
      </c>
      <c r="F466" s="1391" t="e">
        <f t="shared" si="0"/>
        <v>#N/A</v>
      </c>
      <c r="K466" s="1475">
        <v>42523</v>
      </c>
      <c r="L466" s="1476" t="s">
        <v>2127</v>
      </c>
      <c r="M466" s="1477">
        <v>5.2531000000000001E-2</v>
      </c>
      <c r="N466" s="1478">
        <v>1.1755171958457489</v>
      </c>
      <c r="O466" s="1478">
        <v>1.1755171958457489</v>
      </c>
    </row>
    <row r="467" spans="2:15">
      <c r="B467" s="1390">
        <v>46631</v>
      </c>
      <c r="C467" s="1391" t="e">
        <v>#N/A</v>
      </c>
      <c r="D467" s="1391" t="e">
        <v>#N/A</v>
      </c>
      <c r="E467" s="1391" t="e">
        <v>#N/A</v>
      </c>
      <c r="F467" s="1391" t="e">
        <f t="shared" si="0"/>
        <v>#N/A</v>
      </c>
      <c r="K467" s="1475">
        <v>42524</v>
      </c>
      <c r="L467" s="1476" t="s">
        <v>2127</v>
      </c>
      <c r="M467" s="1477">
        <v>5.2531000000000001E-2</v>
      </c>
      <c r="N467" s="1478">
        <v>1.1761347067838985</v>
      </c>
      <c r="O467" s="1478">
        <v>1.1761347067838985</v>
      </c>
    </row>
    <row r="468" spans="2:15">
      <c r="B468" s="1390">
        <v>46661</v>
      </c>
      <c r="C468" s="1391" t="e">
        <v>#N/A</v>
      </c>
      <c r="D468" s="1391" t="e">
        <v>#N/A</v>
      </c>
      <c r="E468" s="1391" t="e">
        <v>#N/A</v>
      </c>
      <c r="F468" s="1391" t="e">
        <f t="shared" si="0"/>
        <v>#N/A</v>
      </c>
      <c r="K468" s="1475">
        <v>42525</v>
      </c>
      <c r="L468" s="1476"/>
      <c r="M468" s="1477">
        <v>0</v>
      </c>
      <c r="N468" s="1478">
        <v>1.1761347067838985</v>
      </c>
      <c r="O468" s="1478">
        <v>1.1761347067838985</v>
      </c>
    </row>
    <row r="469" spans="2:15">
      <c r="B469" s="1390">
        <v>46692</v>
      </c>
      <c r="C469" s="1391" t="e">
        <v>#N/A</v>
      </c>
      <c r="D469" s="1391" t="e">
        <v>#N/A</v>
      </c>
      <c r="E469" s="1391" t="e">
        <v>#N/A</v>
      </c>
      <c r="F469" s="1391" t="e">
        <f t="shared" si="0"/>
        <v>#N/A</v>
      </c>
      <c r="K469" s="1475">
        <v>42526</v>
      </c>
      <c r="L469" s="1476"/>
      <c r="M469" s="1477">
        <v>0</v>
      </c>
      <c r="N469" s="1478">
        <v>1.1761347067838985</v>
      </c>
      <c r="O469" s="1478">
        <v>1.1761347067838985</v>
      </c>
    </row>
    <row r="470" spans="2:15">
      <c r="B470" s="1390">
        <v>46722</v>
      </c>
      <c r="C470" s="1391" t="e">
        <v>#N/A</v>
      </c>
      <c r="D470" s="1391" t="e">
        <v>#N/A</v>
      </c>
      <c r="E470" s="1391" t="e">
        <v>#N/A</v>
      </c>
      <c r="F470" s="1391" t="e">
        <f t="shared" si="0"/>
        <v>#N/A</v>
      </c>
      <c r="K470" s="1475">
        <v>42527</v>
      </c>
      <c r="L470" s="1476" t="s">
        <v>2127</v>
      </c>
      <c r="M470" s="1477">
        <v>5.2531000000000001E-2</v>
      </c>
      <c r="N470" s="1478">
        <v>1.1767525421067191</v>
      </c>
      <c r="O470" s="1478">
        <v>1.1767525421067191</v>
      </c>
    </row>
    <row r="471" spans="2:15">
      <c r="B471" s="1390">
        <v>46753</v>
      </c>
      <c r="C471" s="1391" t="e">
        <v>#N/A</v>
      </c>
      <c r="D471" s="1391" t="e">
        <v>#N/A</v>
      </c>
      <c r="E471" s="1391" t="e">
        <v>#N/A</v>
      </c>
      <c r="F471" s="1391" t="e">
        <f t="shared" si="0"/>
        <v>#N/A</v>
      </c>
      <c r="K471" s="1475">
        <v>42528</v>
      </c>
      <c r="L471" s="1476" t="s">
        <v>2127</v>
      </c>
      <c r="M471" s="1477">
        <v>5.2531000000000001E-2</v>
      </c>
      <c r="N471" s="1478">
        <v>1.1773707019846131</v>
      </c>
      <c r="O471" s="1478">
        <v>1.1773707019846131</v>
      </c>
    </row>
    <row r="472" spans="2:15">
      <c r="B472" s="1390">
        <v>46784</v>
      </c>
      <c r="C472" s="1391" t="e">
        <v>#N/A</v>
      </c>
      <c r="D472" s="1391" t="e">
        <v>#N/A</v>
      </c>
      <c r="E472" s="1391" t="e">
        <v>#N/A</v>
      </c>
      <c r="F472" s="1391" t="e">
        <f t="shared" si="0"/>
        <v>#N/A</v>
      </c>
      <c r="K472" s="1475">
        <v>42529</v>
      </c>
      <c r="L472" s="1476" t="s">
        <v>2127</v>
      </c>
      <c r="M472" s="1477">
        <v>5.2531000000000001E-2</v>
      </c>
      <c r="N472" s="1478">
        <v>1.1779891865880727</v>
      </c>
      <c r="O472" s="1478">
        <v>1.1779891865880727</v>
      </c>
    </row>
    <row r="473" spans="2:15">
      <c r="B473" s="1390">
        <v>46813</v>
      </c>
      <c r="C473" s="1391" t="e">
        <v>#N/A</v>
      </c>
      <c r="D473" s="1391" t="e">
        <v>#N/A</v>
      </c>
      <c r="E473" s="1391" t="e">
        <v>#N/A</v>
      </c>
      <c r="F473" s="1391" t="e">
        <f t="shared" si="0"/>
        <v>#N/A</v>
      </c>
      <c r="K473" s="1475">
        <v>42530</v>
      </c>
      <c r="L473" s="1476" t="s">
        <v>2127</v>
      </c>
      <c r="M473" s="1477">
        <v>5.2531000000000001E-2</v>
      </c>
      <c r="N473" s="1478">
        <v>1.1786079960876794</v>
      </c>
      <c r="O473" s="1478">
        <v>1.1786079960876794</v>
      </c>
    </row>
    <row r="474" spans="2:15">
      <c r="B474" s="1390">
        <v>46844</v>
      </c>
      <c r="C474" s="1391" t="e">
        <v>#N/A</v>
      </c>
      <c r="D474" s="1391" t="e">
        <v>#N/A</v>
      </c>
      <c r="E474" s="1391" t="e">
        <v>#N/A</v>
      </c>
      <c r="F474" s="1391" t="e">
        <f t="shared" si="0"/>
        <v>#N/A</v>
      </c>
      <c r="K474" s="1475">
        <v>42531</v>
      </c>
      <c r="L474" s="1476" t="s">
        <v>2127</v>
      </c>
      <c r="M474" s="1477">
        <v>5.2531000000000001E-2</v>
      </c>
      <c r="N474" s="1478">
        <v>1.1792271306541042</v>
      </c>
      <c r="O474" s="1478">
        <v>1.1792271306541042</v>
      </c>
    </row>
    <row r="475" spans="2:15">
      <c r="B475" s="1390">
        <v>46874</v>
      </c>
      <c r="C475" s="1391" t="e">
        <v>#N/A</v>
      </c>
      <c r="D475" s="1391" t="e">
        <v>#N/A</v>
      </c>
      <c r="E475" s="1391" t="e">
        <v>#N/A</v>
      </c>
      <c r="F475" s="1391" t="e">
        <f t="shared" si="0"/>
        <v>#N/A</v>
      </c>
      <c r="K475" s="1475">
        <v>42532</v>
      </c>
      <c r="L475" s="1476"/>
      <c r="M475" s="1477">
        <v>0</v>
      </c>
      <c r="N475" s="1478">
        <v>1.1792271306541042</v>
      </c>
      <c r="O475" s="1478">
        <v>1.1792271306541042</v>
      </c>
    </row>
    <row r="476" spans="2:15">
      <c r="B476" s="1390">
        <v>46905</v>
      </c>
      <c r="C476" s="1391" t="e">
        <v>#N/A</v>
      </c>
      <c r="D476" s="1391" t="e">
        <v>#N/A</v>
      </c>
      <c r="E476" s="1391" t="e">
        <v>#N/A</v>
      </c>
      <c r="F476" s="1391" t="e">
        <f t="shared" si="0"/>
        <v>#N/A</v>
      </c>
      <c r="K476" s="1475">
        <v>42533</v>
      </c>
      <c r="L476" s="1476"/>
      <c r="M476" s="1477">
        <v>0</v>
      </c>
      <c r="N476" s="1478">
        <v>1.1792271306541042</v>
      </c>
      <c r="O476" s="1478">
        <v>1.1792271306541042</v>
      </c>
    </row>
    <row r="477" spans="2:15">
      <c r="B477" s="1390">
        <v>46935</v>
      </c>
      <c r="C477" s="1391" t="e">
        <v>#N/A</v>
      </c>
      <c r="D477" s="1391" t="e">
        <v>#N/A</v>
      </c>
      <c r="E477" s="1391" t="e">
        <v>#N/A</v>
      </c>
      <c r="F477" s="1391" t="e">
        <f t="shared" si="0"/>
        <v>#N/A</v>
      </c>
      <c r="K477" s="1475">
        <v>42534</v>
      </c>
      <c r="L477" s="1476" t="s">
        <v>2127</v>
      </c>
      <c r="M477" s="1477">
        <v>5.2531000000000001E-2</v>
      </c>
      <c r="N477" s="1478">
        <v>1.1798465904581081</v>
      </c>
      <c r="O477" s="1478">
        <v>1.1798465904581081</v>
      </c>
    </row>
    <row r="478" spans="2:15">
      <c r="B478" s="1390">
        <v>46966</v>
      </c>
      <c r="C478" s="1391" t="e">
        <v>#N/A</v>
      </c>
      <c r="D478" s="1391" t="e">
        <v>#N/A</v>
      </c>
      <c r="E478" s="1391" t="e">
        <v>#N/A</v>
      </c>
      <c r="F478" s="1391" t="e">
        <f t="shared" si="0"/>
        <v>#N/A</v>
      </c>
      <c r="K478" s="1475">
        <v>42535</v>
      </c>
      <c r="L478" s="1476" t="s">
        <v>2127</v>
      </c>
      <c r="M478" s="1477">
        <v>5.2531000000000001E-2</v>
      </c>
      <c r="N478" s="1478">
        <v>1.1804663756705416</v>
      </c>
      <c r="O478" s="1478">
        <v>1.1804663756705416</v>
      </c>
    </row>
    <row r="479" spans="2:15">
      <c r="B479" s="1390">
        <v>46997</v>
      </c>
      <c r="C479" s="1391" t="e">
        <v>#N/A</v>
      </c>
      <c r="D479" s="1391" t="e">
        <v>#N/A</v>
      </c>
      <c r="E479" s="1391" t="e">
        <v>#N/A</v>
      </c>
      <c r="F479" s="1391" t="e">
        <f t="shared" si="0"/>
        <v>#N/A</v>
      </c>
      <c r="K479" s="1475">
        <v>42536</v>
      </c>
      <c r="L479" s="1476" t="s">
        <v>2127</v>
      </c>
      <c r="M479" s="1477">
        <v>5.2531000000000001E-2</v>
      </c>
      <c r="N479" s="1478">
        <v>1.1810864864623452</v>
      </c>
      <c r="O479" s="1478">
        <v>1.1810864864623452</v>
      </c>
    </row>
    <row r="480" spans="2:15">
      <c r="B480" s="1390">
        <v>47027</v>
      </c>
      <c r="C480" s="1391" t="e">
        <v>#N/A</v>
      </c>
      <c r="D480" s="1391" t="e">
        <v>#N/A</v>
      </c>
      <c r="E480" s="1391" t="e">
        <v>#N/A</v>
      </c>
      <c r="F480" s="1391" t="e">
        <f t="shared" si="0"/>
        <v>#N/A</v>
      </c>
      <c r="K480" s="1475">
        <v>42537</v>
      </c>
      <c r="L480" s="1476" t="s">
        <v>2127</v>
      </c>
      <c r="M480" s="1477">
        <v>5.2531000000000001E-2</v>
      </c>
      <c r="N480" s="1478">
        <v>1.1817069230045487</v>
      </c>
      <c r="O480" s="1478">
        <v>1.1817069230045487</v>
      </c>
    </row>
    <row r="481" spans="2:15">
      <c r="B481" s="1390">
        <v>47058</v>
      </c>
      <c r="C481" s="1391" t="e">
        <v>#N/A</v>
      </c>
      <c r="D481" s="1391" t="e">
        <v>#N/A</v>
      </c>
      <c r="E481" s="1391" t="e">
        <v>#N/A</v>
      </c>
      <c r="F481" s="1391" t="e">
        <f t="shared" si="0"/>
        <v>#N/A</v>
      </c>
      <c r="K481" s="1475">
        <v>42538</v>
      </c>
      <c r="L481" s="1476" t="s">
        <v>2127</v>
      </c>
      <c r="M481" s="1477">
        <v>5.2531000000000001E-2</v>
      </c>
      <c r="N481" s="1478">
        <v>1.1823276854682723</v>
      </c>
      <c r="O481" s="1478">
        <v>1.1823276854682723</v>
      </c>
    </row>
    <row r="482" spans="2:15">
      <c r="B482" s="1390">
        <v>47088</v>
      </c>
      <c r="C482" s="1391" t="e">
        <v>#N/A</v>
      </c>
      <c r="D482" s="1391" t="e">
        <v>#N/A</v>
      </c>
      <c r="E482" s="1391" t="e">
        <v>#N/A</v>
      </c>
      <c r="F482" s="1391" t="e">
        <f t="shared" si="0"/>
        <v>#N/A</v>
      </c>
      <c r="K482" s="1475">
        <v>42539</v>
      </c>
      <c r="L482" s="1476"/>
      <c r="M482" s="1477">
        <v>0</v>
      </c>
      <c r="N482" s="1478">
        <v>1.1823276854682723</v>
      </c>
      <c r="O482" s="1478">
        <v>1.1823276854682723</v>
      </c>
    </row>
    <row r="483" spans="2:15">
      <c r="B483" s="1390">
        <v>47119</v>
      </c>
      <c r="C483" s="1391" t="e">
        <v>#N/A</v>
      </c>
      <c r="D483" s="1391" t="e">
        <v>#N/A</v>
      </c>
      <c r="E483" s="1391" t="e">
        <v>#N/A</v>
      </c>
      <c r="F483" s="1391" t="e">
        <f t="shared" si="0"/>
        <v>#N/A</v>
      </c>
      <c r="K483" s="1475">
        <v>42540</v>
      </c>
      <c r="L483" s="1476"/>
      <c r="M483" s="1477">
        <v>0</v>
      </c>
      <c r="N483" s="1478">
        <v>1.1823276854682723</v>
      </c>
      <c r="O483" s="1478">
        <v>1.1823276854682723</v>
      </c>
    </row>
    <row r="484" spans="2:15">
      <c r="B484" s="1390">
        <v>47150</v>
      </c>
      <c r="C484" s="1391" t="e">
        <v>#N/A</v>
      </c>
      <c r="D484" s="1391" t="e">
        <v>#N/A</v>
      </c>
      <c r="E484" s="1391" t="e">
        <v>#N/A</v>
      </c>
      <c r="F484" s="1391" t="e">
        <f t="shared" ref="F484:F500" si="1">F483*E484</f>
        <v>#N/A</v>
      </c>
      <c r="K484" s="1475">
        <v>42541</v>
      </c>
      <c r="L484" s="1476" t="s">
        <v>2127</v>
      </c>
      <c r="M484" s="1477">
        <v>5.2531000000000001E-2</v>
      </c>
      <c r="N484" s="1478">
        <v>1.1829487740247255</v>
      </c>
      <c r="O484" s="1478">
        <v>1.1829487740247255</v>
      </c>
    </row>
    <row r="485" spans="2:15">
      <c r="B485" s="1390">
        <v>47178</v>
      </c>
      <c r="C485" s="1391" t="e">
        <v>#N/A</v>
      </c>
      <c r="D485" s="1391" t="e">
        <v>#N/A</v>
      </c>
      <c r="E485" s="1391" t="e">
        <v>#N/A</v>
      </c>
      <c r="F485" s="1391" t="e">
        <f t="shared" si="1"/>
        <v>#N/A</v>
      </c>
      <c r="K485" s="1475">
        <v>42542</v>
      </c>
      <c r="L485" s="1476" t="s">
        <v>2127</v>
      </c>
      <c r="M485" s="1477">
        <v>5.2531000000000001E-2</v>
      </c>
      <c r="N485" s="1478">
        <v>1.1835701888452084</v>
      </c>
      <c r="O485" s="1478">
        <v>1.1835701888452084</v>
      </c>
    </row>
    <row r="486" spans="2:15">
      <c r="B486" s="1390">
        <v>47209</v>
      </c>
      <c r="C486" s="1391" t="e">
        <v>#N/A</v>
      </c>
      <c r="D486" s="1391" t="e">
        <v>#N/A</v>
      </c>
      <c r="E486" s="1391" t="e">
        <v>#N/A</v>
      </c>
      <c r="F486" s="1391" t="e">
        <f t="shared" si="1"/>
        <v>#N/A</v>
      </c>
      <c r="K486" s="1475">
        <v>42543</v>
      </c>
      <c r="L486" s="1476" t="s">
        <v>2127</v>
      </c>
      <c r="M486" s="1477">
        <v>5.2531000000000001E-2</v>
      </c>
      <c r="N486" s="1478">
        <v>1.1841919301011106</v>
      </c>
      <c r="O486" s="1478">
        <v>1.1841919301011106</v>
      </c>
    </row>
    <row r="487" spans="2:15">
      <c r="B487" s="1390">
        <v>47239</v>
      </c>
      <c r="C487" s="1391" t="e">
        <v>#N/A</v>
      </c>
      <c r="D487" s="1391" t="e">
        <v>#N/A</v>
      </c>
      <c r="E487" s="1391" t="e">
        <v>#N/A</v>
      </c>
      <c r="F487" s="1391" t="e">
        <f t="shared" si="1"/>
        <v>#N/A</v>
      </c>
      <c r="K487" s="1475">
        <v>42544</v>
      </c>
      <c r="L487" s="1476" t="s">
        <v>2127</v>
      </c>
      <c r="M487" s="1477">
        <v>5.2531000000000001E-2</v>
      </c>
      <c r="N487" s="1478">
        <v>1.1848139979639121</v>
      </c>
      <c r="O487" s="1478">
        <v>1.1848139979639121</v>
      </c>
    </row>
    <row r="488" spans="2:15">
      <c r="B488" s="1390">
        <v>47270</v>
      </c>
      <c r="C488" s="1391" t="e">
        <v>#N/A</v>
      </c>
      <c r="D488" s="1391" t="e">
        <v>#N/A</v>
      </c>
      <c r="E488" s="1391" t="e">
        <v>#N/A</v>
      </c>
      <c r="F488" s="1391" t="e">
        <f t="shared" si="1"/>
        <v>#N/A</v>
      </c>
      <c r="K488" s="1475">
        <v>42545</v>
      </c>
      <c r="L488" s="1476" t="s">
        <v>2127</v>
      </c>
      <c r="M488" s="1477">
        <v>5.2531000000000001E-2</v>
      </c>
      <c r="N488" s="1478">
        <v>1.1854363926051825</v>
      </c>
      <c r="O488" s="1478">
        <v>1.1854363926051825</v>
      </c>
    </row>
    <row r="489" spans="2:15">
      <c r="B489" s="1390">
        <v>47300</v>
      </c>
      <c r="C489" s="1391" t="e">
        <v>#N/A</v>
      </c>
      <c r="D489" s="1391" t="e">
        <v>#N/A</v>
      </c>
      <c r="E489" s="1391" t="e">
        <v>#N/A</v>
      </c>
      <c r="F489" s="1391" t="e">
        <f t="shared" si="1"/>
        <v>#N/A</v>
      </c>
      <c r="K489" s="1475">
        <v>42546</v>
      </c>
      <c r="L489" s="1476"/>
      <c r="M489" s="1477">
        <v>0</v>
      </c>
      <c r="N489" s="1478">
        <v>1.1854363926051825</v>
      </c>
      <c r="O489" s="1478">
        <v>1.1854363926051825</v>
      </c>
    </row>
    <row r="490" spans="2:15">
      <c r="B490" s="1390">
        <v>47331</v>
      </c>
      <c r="C490" s="1391" t="e">
        <v>#N/A</v>
      </c>
      <c r="D490" s="1391" t="e">
        <v>#N/A</v>
      </c>
      <c r="E490" s="1391" t="e">
        <v>#N/A</v>
      </c>
      <c r="F490" s="1391" t="e">
        <f t="shared" si="1"/>
        <v>#N/A</v>
      </c>
      <c r="K490" s="1475">
        <v>42547</v>
      </c>
      <c r="L490" s="1476"/>
      <c r="M490" s="1477">
        <v>0</v>
      </c>
      <c r="N490" s="1478">
        <v>1.1854363926051825</v>
      </c>
      <c r="O490" s="1478">
        <v>1.1854363926051825</v>
      </c>
    </row>
    <row r="491" spans="2:15">
      <c r="B491" s="1390">
        <v>47362</v>
      </c>
      <c r="C491" s="1391" t="e">
        <v>#N/A</v>
      </c>
      <c r="D491" s="1391" t="e">
        <v>#N/A</v>
      </c>
      <c r="E491" s="1391" t="e">
        <v>#N/A</v>
      </c>
      <c r="F491" s="1391" t="e">
        <f t="shared" si="1"/>
        <v>#N/A</v>
      </c>
      <c r="K491" s="1475">
        <v>42548</v>
      </c>
      <c r="L491" s="1476" t="s">
        <v>2127</v>
      </c>
      <c r="M491" s="1477">
        <v>5.2531000000000001E-2</v>
      </c>
      <c r="N491" s="1478">
        <v>1.1860591141965819</v>
      </c>
      <c r="O491" s="1478">
        <v>1.1860591141965819</v>
      </c>
    </row>
    <row r="492" spans="2:15">
      <c r="B492" s="1390">
        <v>47392</v>
      </c>
      <c r="C492" s="1391" t="e">
        <v>#N/A</v>
      </c>
      <c r="D492" s="1391" t="e">
        <v>#N/A</v>
      </c>
      <c r="E492" s="1391" t="e">
        <v>#N/A</v>
      </c>
      <c r="F492" s="1391" t="e">
        <f t="shared" si="1"/>
        <v>#N/A</v>
      </c>
      <c r="K492" s="1475">
        <v>42549</v>
      </c>
      <c r="L492" s="1476" t="s">
        <v>2127</v>
      </c>
      <c r="M492" s="1477">
        <v>5.2531000000000001E-2</v>
      </c>
      <c r="N492" s="1478">
        <v>1.1866821629098605</v>
      </c>
      <c r="O492" s="1478">
        <v>1.1866821629098605</v>
      </c>
    </row>
    <row r="493" spans="2:15">
      <c r="B493" s="1390">
        <v>47423</v>
      </c>
      <c r="C493" s="1391" t="e">
        <v>#N/A</v>
      </c>
      <c r="D493" s="1391" t="e">
        <v>#N/A</v>
      </c>
      <c r="E493" s="1391" t="e">
        <v>#N/A</v>
      </c>
      <c r="F493" s="1391" t="e">
        <f t="shared" si="1"/>
        <v>#N/A</v>
      </c>
      <c r="K493" s="1475">
        <v>42550</v>
      </c>
      <c r="L493" s="1476" t="s">
        <v>2127</v>
      </c>
      <c r="M493" s="1477">
        <v>5.2531000000000001E-2</v>
      </c>
      <c r="N493" s="1478">
        <v>1.1873055389168587</v>
      </c>
      <c r="O493" s="1478">
        <v>1.1873055389168587</v>
      </c>
    </row>
    <row r="494" spans="2:15">
      <c r="B494" s="1390">
        <v>47453</v>
      </c>
      <c r="C494" s="1391" t="e">
        <v>#N/A</v>
      </c>
      <c r="D494" s="1391" t="e">
        <v>#N/A</v>
      </c>
      <c r="E494" s="1391" t="e">
        <v>#N/A</v>
      </c>
      <c r="F494" s="1391" t="e">
        <f t="shared" si="1"/>
        <v>#N/A</v>
      </c>
      <c r="K494" s="1475">
        <v>42551</v>
      </c>
      <c r="L494" s="1476" t="s">
        <v>2127</v>
      </c>
      <c r="M494" s="1477">
        <v>5.2531000000000001E-2</v>
      </c>
      <c r="N494" s="1478">
        <v>1.1879292423895071</v>
      </c>
      <c r="O494" s="1478">
        <v>1.1879292423895071</v>
      </c>
    </row>
    <row r="495" spans="2:15">
      <c r="B495" s="1390">
        <v>47484</v>
      </c>
      <c r="C495" s="1391" t="e">
        <v>#N/A</v>
      </c>
      <c r="D495" s="1391" t="e">
        <v>#N/A</v>
      </c>
      <c r="E495" s="1391" t="e">
        <v>#N/A</v>
      </c>
      <c r="F495" s="1391" t="e">
        <f t="shared" si="1"/>
        <v>#N/A</v>
      </c>
      <c r="K495" s="1475">
        <v>42552</v>
      </c>
      <c r="L495" s="1476" t="s">
        <v>2127</v>
      </c>
      <c r="M495" s="1477">
        <v>5.2531000000000001E-2</v>
      </c>
      <c r="N495" s="1478">
        <v>1.1885532734998268</v>
      </c>
      <c r="O495" s="1478">
        <v>1.1885532734998268</v>
      </c>
    </row>
    <row r="496" spans="2:15">
      <c r="B496" s="1390">
        <v>47515</v>
      </c>
      <c r="C496" s="1391" t="e">
        <v>#N/A</v>
      </c>
      <c r="D496" s="1391" t="e">
        <v>#N/A</v>
      </c>
      <c r="E496" s="1391" t="e">
        <v>#N/A</v>
      </c>
      <c r="F496" s="1391" t="e">
        <f t="shared" si="1"/>
        <v>#N/A</v>
      </c>
      <c r="K496" s="1475">
        <v>42553</v>
      </c>
      <c r="L496" s="1476"/>
      <c r="M496" s="1477">
        <v>0</v>
      </c>
      <c r="N496" s="1478">
        <v>1.1885532734998268</v>
      </c>
      <c r="O496" s="1478">
        <v>1.1885532734998268</v>
      </c>
    </row>
    <row r="497" spans="2:15">
      <c r="B497" s="1390">
        <v>47543</v>
      </c>
      <c r="C497" s="1391" t="e">
        <v>#N/A</v>
      </c>
      <c r="D497" s="1391" t="e">
        <v>#N/A</v>
      </c>
      <c r="E497" s="1391" t="e">
        <v>#N/A</v>
      </c>
      <c r="F497" s="1391" t="e">
        <f t="shared" si="1"/>
        <v>#N/A</v>
      </c>
      <c r="K497" s="1475">
        <v>42554</v>
      </c>
      <c r="L497" s="1476"/>
      <c r="M497" s="1477">
        <v>0</v>
      </c>
      <c r="N497" s="1478">
        <v>1.1885532734998268</v>
      </c>
      <c r="O497" s="1478">
        <v>1.1885532734998268</v>
      </c>
    </row>
    <row r="498" spans="2:15">
      <c r="B498" s="1390">
        <v>47574</v>
      </c>
      <c r="C498" s="1391" t="e">
        <v>#N/A</v>
      </c>
      <c r="D498" s="1391" t="e">
        <v>#N/A</v>
      </c>
      <c r="E498" s="1391" t="e">
        <v>#N/A</v>
      </c>
      <c r="F498" s="1391" t="e">
        <f t="shared" si="1"/>
        <v>#N/A</v>
      </c>
      <c r="K498" s="1475">
        <v>42555</v>
      </c>
      <c r="L498" s="1476" t="s">
        <v>2127</v>
      </c>
      <c r="M498" s="1477">
        <v>5.2531000000000001E-2</v>
      </c>
      <c r="N498" s="1478">
        <v>1.189177632419929</v>
      </c>
      <c r="O498" s="1478">
        <v>1.189177632419929</v>
      </c>
    </row>
    <row r="499" spans="2:15">
      <c r="B499" s="1390">
        <v>47604</v>
      </c>
      <c r="C499" s="1391" t="e">
        <v>#N/A</v>
      </c>
      <c r="D499" s="1391" t="e">
        <v>#N/A</v>
      </c>
      <c r="E499" s="1391" t="e">
        <v>#N/A</v>
      </c>
      <c r="F499" s="1391" t="e">
        <f t="shared" si="1"/>
        <v>#N/A</v>
      </c>
      <c r="K499" s="1475">
        <v>42556</v>
      </c>
      <c r="L499" s="1476" t="s">
        <v>2127</v>
      </c>
      <c r="M499" s="1477">
        <v>5.2531000000000001E-2</v>
      </c>
      <c r="N499" s="1478">
        <v>1.1898023193220155</v>
      </c>
      <c r="O499" s="1478">
        <v>1.1898023193220155</v>
      </c>
    </row>
    <row r="500" spans="2:15">
      <c r="B500" s="1390">
        <v>47635</v>
      </c>
      <c r="C500" s="1391" t="e">
        <v>#N/A</v>
      </c>
      <c r="D500" s="1391" t="e">
        <v>#N/A</v>
      </c>
      <c r="E500" s="1391" t="e">
        <v>#N/A</v>
      </c>
      <c r="F500" s="1391" t="e">
        <f t="shared" si="1"/>
        <v>#N/A</v>
      </c>
      <c r="K500" s="1475">
        <v>42557</v>
      </c>
      <c r="L500" s="1476" t="s">
        <v>2127</v>
      </c>
      <c r="M500" s="1477">
        <v>5.2531000000000001E-2</v>
      </c>
      <c r="N500" s="1478">
        <v>1.1904273343783787</v>
      </c>
      <c r="O500" s="1478">
        <v>1.1904273343783787</v>
      </c>
    </row>
    <row r="501" spans="2:15">
      <c r="K501" s="1475">
        <v>42558</v>
      </c>
      <c r="L501" s="1476" t="s">
        <v>2127</v>
      </c>
      <c r="M501" s="1477">
        <v>5.2531000000000001E-2</v>
      </c>
      <c r="N501" s="1478">
        <v>1.191052677761401</v>
      </c>
      <c r="O501" s="1478">
        <v>1.191052677761401</v>
      </c>
    </row>
    <row r="502" spans="2:15">
      <c r="K502" s="1475">
        <v>42559</v>
      </c>
      <c r="L502" s="1476" t="s">
        <v>2127</v>
      </c>
      <c r="M502" s="1477">
        <v>5.2531000000000001E-2</v>
      </c>
      <c r="N502" s="1478">
        <v>1.1916783496435559</v>
      </c>
      <c r="O502" s="1478">
        <v>1.1916783496435559</v>
      </c>
    </row>
    <row r="503" spans="2:15">
      <c r="K503" s="1475">
        <v>42560</v>
      </c>
      <c r="L503" s="1476"/>
      <c r="M503" s="1477">
        <v>0</v>
      </c>
      <c r="N503" s="1478">
        <v>1.1916783496435559</v>
      </c>
      <c r="O503" s="1478">
        <v>1.1916783496435559</v>
      </c>
    </row>
    <row r="504" spans="2:15">
      <c r="K504" s="1475">
        <v>42561</v>
      </c>
      <c r="L504" s="1476"/>
      <c r="M504" s="1477">
        <v>0</v>
      </c>
      <c r="N504" s="1478">
        <v>1.1916783496435559</v>
      </c>
      <c r="O504" s="1478">
        <v>1.1916783496435559</v>
      </c>
    </row>
    <row r="505" spans="2:15">
      <c r="K505" s="1475">
        <v>42562</v>
      </c>
      <c r="L505" s="1476" t="s">
        <v>2127</v>
      </c>
      <c r="M505" s="1477">
        <v>5.2531000000000001E-2</v>
      </c>
      <c r="N505" s="1478">
        <v>1.1923043501974071</v>
      </c>
      <c r="O505" s="1478">
        <v>1.1923043501974071</v>
      </c>
    </row>
    <row r="506" spans="2:15">
      <c r="K506" s="1475">
        <v>42563</v>
      </c>
      <c r="L506" s="1476" t="s">
        <v>2127</v>
      </c>
      <c r="M506" s="1477">
        <v>5.2531000000000001E-2</v>
      </c>
      <c r="N506" s="1478">
        <v>1.1929306795956094</v>
      </c>
      <c r="O506" s="1478">
        <v>1.1929306795956094</v>
      </c>
    </row>
    <row r="507" spans="2:15">
      <c r="K507" s="1475">
        <v>42564</v>
      </c>
      <c r="L507" s="1476" t="s">
        <v>2127</v>
      </c>
      <c r="M507" s="1477">
        <v>5.2531000000000001E-2</v>
      </c>
      <c r="N507" s="1478">
        <v>1.1935573380109077</v>
      </c>
      <c r="O507" s="1478">
        <v>1.1935573380109077</v>
      </c>
    </row>
    <row r="508" spans="2:15">
      <c r="K508" s="1475">
        <v>42565</v>
      </c>
      <c r="L508" s="1476" t="s">
        <v>2127</v>
      </c>
      <c r="M508" s="1477">
        <v>5.2531000000000001E-2</v>
      </c>
      <c r="N508" s="1478">
        <v>1.1941843256161382</v>
      </c>
      <c r="O508" s="1478">
        <v>1.1941843256161382</v>
      </c>
    </row>
    <row r="509" spans="2:15">
      <c r="K509" s="1475">
        <v>42566</v>
      </c>
      <c r="L509" s="1476" t="s">
        <v>2127</v>
      </c>
      <c r="M509" s="1477">
        <v>5.2531000000000001E-2</v>
      </c>
      <c r="N509" s="1478">
        <v>1.1948116425842277</v>
      </c>
      <c r="O509" s="1478">
        <v>1.1948116425842277</v>
      </c>
    </row>
    <row r="510" spans="2:15">
      <c r="K510" s="1475">
        <v>42567</v>
      </c>
      <c r="L510" s="1476"/>
      <c r="M510" s="1477">
        <v>0</v>
      </c>
      <c r="N510" s="1478">
        <v>1.1948116425842277</v>
      </c>
      <c r="O510" s="1478">
        <v>1.1948116425842277</v>
      </c>
    </row>
    <row r="511" spans="2:15">
      <c r="K511" s="1475">
        <v>42568</v>
      </c>
      <c r="L511" s="1476"/>
      <c r="M511" s="1477">
        <v>0</v>
      </c>
      <c r="N511" s="1478">
        <v>1.1948116425842277</v>
      </c>
      <c r="O511" s="1478">
        <v>1.1948116425842277</v>
      </c>
    </row>
    <row r="512" spans="2:15">
      <c r="K512" s="1475">
        <v>42569</v>
      </c>
      <c r="L512" s="1476" t="s">
        <v>2127</v>
      </c>
      <c r="M512" s="1477">
        <v>5.2531000000000001E-2</v>
      </c>
      <c r="N512" s="1478">
        <v>1.1954392890881935</v>
      </c>
      <c r="O512" s="1478">
        <v>1.1954392890881935</v>
      </c>
    </row>
    <row r="513" spans="11:15">
      <c r="K513" s="1475">
        <v>42570</v>
      </c>
      <c r="L513" s="1476" t="s">
        <v>2127</v>
      </c>
      <c r="M513" s="1477">
        <v>5.2531000000000001E-2</v>
      </c>
      <c r="N513" s="1478">
        <v>1.1960672653011444</v>
      </c>
      <c r="O513" s="1478">
        <v>1.1960672653011444</v>
      </c>
    </row>
    <row r="514" spans="11:15">
      <c r="K514" s="1475">
        <v>42571</v>
      </c>
      <c r="L514" s="1476" t="s">
        <v>2127</v>
      </c>
      <c r="M514" s="1477">
        <v>5.2531000000000001E-2</v>
      </c>
      <c r="N514" s="1478">
        <v>1.1966955713962797</v>
      </c>
      <c r="O514" s="1478">
        <v>1.1966955713962797</v>
      </c>
    </row>
    <row r="515" spans="11:15">
      <c r="K515" s="1475">
        <v>42572</v>
      </c>
      <c r="L515" s="1476" t="s">
        <v>2127</v>
      </c>
      <c r="M515" s="1477">
        <v>5.2531000000000001E-2</v>
      </c>
      <c r="N515" s="1478">
        <v>1.19732420754689</v>
      </c>
      <c r="O515" s="1478">
        <v>1.19732420754689</v>
      </c>
    </row>
    <row r="516" spans="11:15">
      <c r="K516" s="1475">
        <v>42573</v>
      </c>
      <c r="L516" s="1476" t="s">
        <v>2127</v>
      </c>
      <c r="M516" s="1477">
        <v>5.2531000000000001E-2</v>
      </c>
      <c r="N516" s="1478">
        <v>1.1979531739263565</v>
      </c>
      <c r="O516" s="1478">
        <v>1.1979531739263565</v>
      </c>
    </row>
    <row r="517" spans="11:15">
      <c r="K517" s="1475">
        <v>42574</v>
      </c>
      <c r="L517" s="1476"/>
      <c r="M517" s="1477">
        <v>0</v>
      </c>
      <c r="N517" s="1478">
        <v>1.1979531739263565</v>
      </c>
      <c r="O517" s="1478">
        <v>1.1979531739263565</v>
      </c>
    </row>
    <row r="518" spans="11:15">
      <c r="K518" s="1475">
        <v>42575</v>
      </c>
      <c r="L518" s="1476"/>
      <c r="M518" s="1477">
        <v>0</v>
      </c>
      <c r="N518" s="1478">
        <v>1.1979531739263565</v>
      </c>
      <c r="O518" s="1478">
        <v>1.1979531739263565</v>
      </c>
    </row>
    <row r="519" spans="11:15">
      <c r="K519" s="1475">
        <v>42576</v>
      </c>
      <c r="L519" s="1476" t="s">
        <v>2127</v>
      </c>
      <c r="M519" s="1477">
        <v>5.2531000000000001E-2</v>
      </c>
      <c r="N519" s="1478">
        <v>1.1985824707081518</v>
      </c>
      <c r="O519" s="1478">
        <v>1.1985824707081518</v>
      </c>
    </row>
    <row r="520" spans="11:15">
      <c r="K520" s="1475">
        <v>42577</v>
      </c>
      <c r="L520" s="1476" t="s">
        <v>2127</v>
      </c>
      <c r="M520" s="1477">
        <v>5.2531000000000001E-2</v>
      </c>
      <c r="N520" s="1478">
        <v>1.1992120980658396</v>
      </c>
      <c r="O520" s="1478">
        <v>1.1992120980658396</v>
      </c>
    </row>
    <row r="521" spans="11:15">
      <c r="K521" s="1475">
        <v>42578</v>
      </c>
      <c r="L521" s="1476" t="s">
        <v>2127</v>
      </c>
      <c r="M521" s="1477">
        <v>5.2531000000000001E-2</v>
      </c>
      <c r="N521" s="1478">
        <v>1.1998420561730745</v>
      </c>
      <c r="O521" s="1478">
        <v>1.1998420561730745</v>
      </c>
    </row>
    <row r="522" spans="11:15">
      <c r="K522" s="1475">
        <v>42579</v>
      </c>
      <c r="L522" s="1476" t="s">
        <v>2127</v>
      </c>
      <c r="M522" s="1477">
        <v>5.2531000000000001E-2</v>
      </c>
      <c r="N522" s="1478">
        <v>1.2004723452036028</v>
      </c>
      <c r="O522" s="1478">
        <v>1.2004723452036028</v>
      </c>
    </row>
    <row r="523" spans="11:15">
      <c r="K523" s="1475">
        <v>42580</v>
      </c>
      <c r="L523" s="1476" t="s">
        <v>2127</v>
      </c>
      <c r="M523" s="1477">
        <v>5.2531000000000001E-2</v>
      </c>
      <c r="N523" s="1478">
        <v>1.2011029653312617</v>
      </c>
      <c r="O523" s="1478">
        <v>1.2011029653312617</v>
      </c>
    </row>
    <row r="524" spans="11:15">
      <c r="K524" s="1475">
        <v>42581</v>
      </c>
      <c r="L524" s="1476"/>
      <c r="M524" s="1477">
        <v>0</v>
      </c>
      <c r="N524" s="1478">
        <v>1.2011029653312617</v>
      </c>
      <c r="O524" s="1478">
        <v>1.2011029653312617</v>
      </c>
    </row>
    <row r="525" spans="11:15">
      <c r="K525" s="1475">
        <v>42582</v>
      </c>
      <c r="L525" s="1476"/>
      <c r="M525" s="1477">
        <v>0</v>
      </c>
      <c r="N525" s="1478">
        <v>1.2011029653312617</v>
      </c>
      <c r="O525" s="1478">
        <v>1.2011029653312617</v>
      </c>
    </row>
    <row r="526" spans="11:15">
      <c r="K526" s="1475">
        <v>42583</v>
      </c>
      <c r="L526" s="1476" t="s">
        <v>2127</v>
      </c>
      <c r="M526" s="1477">
        <v>5.2531000000000001E-2</v>
      </c>
      <c r="N526" s="1478">
        <v>1.2017339167299799</v>
      </c>
      <c r="O526" s="1478">
        <v>1.2017339167299799</v>
      </c>
    </row>
    <row r="527" spans="11:15">
      <c r="K527" s="1475">
        <v>42584</v>
      </c>
      <c r="L527" s="1476" t="s">
        <v>2127</v>
      </c>
      <c r="M527" s="1477">
        <v>5.2531000000000001E-2</v>
      </c>
      <c r="N527" s="1478">
        <v>1.2023651995737772</v>
      </c>
      <c r="O527" s="1478">
        <v>1.2023651995737772</v>
      </c>
    </row>
    <row r="528" spans="11:15">
      <c r="K528" s="1475">
        <v>42585</v>
      </c>
      <c r="L528" s="1476" t="s">
        <v>2127</v>
      </c>
      <c r="M528" s="1477">
        <v>5.2531000000000001E-2</v>
      </c>
      <c r="N528" s="1478">
        <v>1.2029968140367653</v>
      </c>
      <c r="O528" s="1478">
        <v>1.2029968140367653</v>
      </c>
    </row>
    <row r="529" spans="11:15">
      <c r="K529" s="1475">
        <v>42586</v>
      </c>
      <c r="L529" s="1476" t="s">
        <v>2127</v>
      </c>
      <c r="M529" s="1477">
        <v>5.2531000000000001E-2</v>
      </c>
      <c r="N529" s="1478">
        <v>1.203628760293147</v>
      </c>
      <c r="O529" s="1478">
        <v>1.203628760293147</v>
      </c>
    </row>
    <row r="530" spans="11:15">
      <c r="K530" s="1475">
        <v>42587</v>
      </c>
      <c r="L530" s="1476" t="s">
        <v>2127</v>
      </c>
      <c r="M530" s="1477">
        <v>5.2531000000000001E-2</v>
      </c>
      <c r="N530" s="1478">
        <v>1.2042610385172166</v>
      </c>
      <c r="O530" s="1478">
        <v>1.2042610385172166</v>
      </c>
    </row>
    <row r="531" spans="11:15">
      <c r="K531" s="1475">
        <v>42588</v>
      </c>
      <c r="L531" s="1476"/>
      <c r="M531" s="1477">
        <v>0</v>
      </c>
      <c r="N531" s="1478">
        <v>1.2042610385172166</v>
      </c>
      <c r="O531" s="1478">
        <v>1.2042610385172166</v>
      </c>
    </row>
    <row r="532" spans="11:15">
      <c r="K532" s="1475">
        <v>42589</v>
      </c>
      <c r="L532" s="1476"/>
      <c r="M532" s="1477">
        <v>0</v>
      </c>
      <c r="N532" s="1478">
        <v>1.2042610385172166</v>
      </c>
      <c r="O532" s="1478">
        <v>1.2042610385172166</v>
      </c>
    </row>
    <row r="533" spans="11:15">
      <c r="K533" s="1475">
        <v>42590</v>
      </c>
      <c r="L533" s="1476" t="s">
        <v>2127</v>
      </c>
      <c r="M533" s="1477">
        <v>5.2531000000000001E-2</v>
      </c>
      <c r="N533" s="1478">
        <v>1.2048936488833599</v>
      </c>
      <c r="O533" s="1478">
        <v>1.2048936488833599</v>
      </c>
    </row>
    <row r="534" spans="11:15">
      <c r="K534" s="1475">
        <v>42591</v>
      </c>
      <c r="L534" s="1476" t="s">
        <v>2127</v>
      </c>
      <c r="M534" s="1477">
        <v>5.2531000000000001E-2</v>
      </c>
      <c r="N534" s="1478">
        <v>1.2055265915660549</v>
      </c>
      <c r="O534" s="1478">
        <v>1.2055265915660549</v>
      </c>
    </row>
    <row r="535" spans="11:15">
      <c r="K535" s="1475">
        <v>42592</v>
      </c>
      <c r="L535" s="1476" t="s">
        <v>2127</v>
      </c>
      <c r="M535" s="1477">
        <v>5.2531000000000001E-2</v>
      </c>
      <c r="N535" s="1478">
        <v>1.2061598667398705</v>
      </c>
      <c r="O535" s="1478">
        <v>1.2061598667398705</v>
      </c>
    </row>
    <row r="536" spans="11:15">
      <c r="K536" s="1475">
        <v>42593</v>
      </c>
      <c r="L536" s="1476" t="s">
        <v>2127</v>
      </c>
      <c r="M536" s="1477">
        <v>5.2531000000000001E-2</v>
      </c>
      <c r="N536" s="1478">
        <v>1.2067934745794677</v>
      </c>
      <c r="O536" s="1478">
        <v>1.2067934745794677</v>
      </c>
    </row>
    <row r="537" spans="11:15">
      <c r="K537" s="1475">
        <v>42594</v>
      </c>
      <c r="L537" s="1476" t="s">
        <v>2127</v>
      </c>
      <c r="M537" s="1477">
        <v>5.2531000000000001E-2</v>
      </c>
      <c r="N537" s="1478">
        <v>1.2074274152595992</v>
      </c>
      <c r="O537" s="1478">
        <v>1.2074274152595992</v>
      </c>
    </row>
    <row r="538" spans="11:15">
      <c r="K538" s="1475">
        <v>42595</v>
      </c>
      <c r="L538" s="1476"/>
      <c r="M538" s="1477">
        <v>0</v>
      </c>
      <c r="N538" s="1478">
        <v>1.2074274152595992</v>
      </c>
      <c r="O538" s="1478">
        <v>1.2074274152595992</v>
      </c>
    </row>
    <row r="539" spans="11:15">
      <c r="K539" s="1475">
        <v>42596</v>
      </c>
      <c r="L539" s="1476"/>
      <c r="M539" s="1477">
        <v>0</v>
      </c>
      <c r="N539" s="1478">
        <v>1.2074274152595992</v>
      </c>
      <c r="O539" s="1478">
        <v>1.2074274152595992</v>
      </c>
    </row>
    <row r="540" spans="11:15">
      <c r="K540" s="1475">
        <v>42597</v>
      </c>
      <c r="L540" s="1476" t="s">
        <v>2127</v>
      </c>
      <c r="M540" s="1477">
        <v>5.2531000000000001E-2</v>
      </c>
      <c r="N540" s="1478">
        <v>1.2080616889551092</v>
      </c>
      <c r="O540" s="1478">
        <v>1.2080616889551092</v>
      </c>
    </row>
    <row r="541" spans="11:15">
      <c r="K541" s="1475">
        <v>42598</v>
      </c>
      <c r="L541" s="1476" t="s">
        <v>2127</v>
      </c>
      <c r="M541" s="1477">
        <v>5.2531000000000001E-2</v>
      </c>
      <c r="N541" s="1478">
        <v>1.2086962958409342</v>
      </c>
      <c r="O541" s="1478">
        <v>1.2086962958409342</v>
      </c>
    </row>
    <row r="542" spans="11:15">
      <c r="K542" s="1475">
        <v>42599</v>
      </c>
      <c r="L542" s="1476" t="s">
        <v>2127</v>
      </c>
      <c r="M542" s="1477">
        <v>5.2531000000000001E-2</v>
      </c>
      <c r="N542" s="1478">
        <v>1.2093312360921025</v>
      </c>
      <c r="O542" s="1478">
        <v>1.2093312360921025</v>
      </c>
    </row>
    <row r="543" spans="11:15">
      <c r="K543" s="1475">
        <v>42600</v>
      </c>
      <c r="L543" s="1476" t="s">
        <v>2127</v>
      </c>
      <c r="M543" s="1477">
        <v>5.2531000000000001E-2</v>
      </c>
      <c r="N543" s="1478">
        <v>1.209966509883734</v>
      </c>
      <c r="O543" s="1478">
        <v>1.209966509883734</v>
      </c>
    </row>
    <row r="544" spans="11:15">
      <c r="K544" s="1475">
        <v>42601</v>
      </c>
      <c r="L544" s="1476" t="s">
        <v>2127</v>
      </c>
      <c r="M544" s="1477">
        <v>5.2531000000000001E-2</v>
      </c>
      <c r="N544" s="1478">
        <v>1.2106021173910411</v>
      </c>
      <c r="O544" s="1478">
        <v>1.2106021173910411</v>
      </c>
    </row>
    <row r="545" spans="11:15">
      <c r="K545" s="1475">
        <v>42602</v>
      </c>
      <c r="L545" s="1476"/>
      <c r="M545" s="1477">
        <v>0</v>
      </c>
      <c r="N545" s="1478">
        <v>1.2106021173910411</v>
      </c>
      <c r="O545" s="1478">
        <v>1.2106021173910411</v>
      </c>
    </row>
    <row r="546" spans="11:15">
      <c r="K546" s="1475">
        <v>42603</v>
      </c>
      <c r="L546" s="1476"/>
      <c r="M546" s="1477">
        <v>0</v>
      </c>
      <c r="N546" s="1478">
        <v>1.2106021173910411</v>
      </c>
      <c r="O546" s="1478">
        <v>1.2106021173910411</v>
      </c>
    </row>
    <row r="547" spans="11:15">
      <c r="K547" s="1475">
        <v>42604</v>
      </c>
      <c r="L547" s="1476" t="s">
        <v>2127</v>
      </c>
      <c r="M547" s="1477">
        <v>5.2531000000000001E-2</v>
      </c>
      <c r="N547" s="1478">
        <v>1.2112380587893277</v>
      </c>
      <c r="O547" s="1478">
        <v>1.2112380587893277</v>
      </c>
    </row>
    <row r="548" spans="11:15">
      <c r="K548" s="1475">
        <v>42605</v>
      </c>
      <c r="L548" s="1476" t="s">
        <v>2127</v>
      </c>
      <c r="M548" s="1477">
        <v>5.2531000000000001E-2</v>
      </c>
      <c r="N548" s="1478">
        <v>1.2118743342539904</v>
      </c>
      <c r="O548" s="1478">
        <v>1.2118743342539904</v>
      </c>
    </row>
    <row r="549" spans="11:15">
      <c r="K549" s="1475">
        <v>42606</v>
      </c>
      <c r="L549" s="1476" t="s">
        <v>2127</v>
      </c>
      <c r="M549" s="1477">
        <v>5.2531000000000001E-2</v>
      </c>
      <c r="N549" s="1478">
        <v>1.2125109439605173</v>
      </c>
      <c r="O549" s="1478">
        <v>1.2125109439605173</v>
      </c>
    </row>
    <row r="550" spans="11:15">
      <c r="K550" s="1475">
        <v>42607</v>
      </c>
      <c r="L550" s="1476" t="s">
        <v>2127</v>
      </c>
      <c r="M550" s="1477">
        <v>5.2531000000000001E-2</v>
      </c>
      <c r="N550" s="1478">
        <v>1.2131478880844893</v>
      </c>
      <c r="O550" s="1478">
        <v>1.2131478880844893</v>
      </c>
    </row>
    <row r="551" spans="11:15">
      <c r="K551" s="1475">
        <v>42608</v>
      </c>
      <c r="L551" s="1476" t="s">
        <v>2127</v>
      </c>
      <c r="M551" s="1477">
        <v>5.2531000000000001E-2</v>
      </c>
      <c r="N551" s="1478">
        <v>1.2137851668015789</v>
      </c>
      <c r="O551" s="1478">
        <v>1.2137851668015789</v>
      </c>
    </row>
    <row r="552" spans="11:15">
      <c r="K552" s="1475">
        <v>42609</v>
      </c>
      <c r="L552" s="1476"/>
      <c r="M552" s="1477">
        <v>0</v>
      </c>
      <c r="N552" s="1478">
        <v>1.2137851668015789</v>
      </c>
      <c r="O552" s="1478">
        <v>1.2137851668015789</v>
      </c>
    </row>
    <row r="553" spans="11:15">
      <c r="K553" s="1475">
        <v>42610</v>
      </c>
      <c r="L553" s="1476"/>
      <c r="M553" s="1477">
        <v>0</v>
      </c>
      <c r="N553" s="1478">
        <v>1.2137851668015789</v>
      </c>
      <c r="O553" s="1478">
        <v>1.2137851668015789</v>
      </c>
    </row>
    <row r="554" spans="11:15">
      <c r="K554" s="1475">
        <v>42611</v>
      </c>
      <c r="L554" s="1476" t="s">
        <v>2127</v>
      </c>
      <c r="M554" s="1477">
        <v>5.2531000000000001E-2</v>
      </c>
      <c r="N554" s="1478">
        <v>1.2144227802875514</v>
      </c>
      <c r="O554" s="1478">
        <v>1.2144227802875514</v>
      </c>
    </row>
    <row r="555" spans="11:15">
      <c r="K555" s="1475">
        <v>42612</v>
      </c>
      <c r="L555" s="1476" t="s">
        <v>2127</v>
      </c>
      <c r="M555" s="1477">
        <v>5.2531000000000001E-2</v>
      </c>
      <c r="N555" s="1478">
        <v>1.2150607287182642</v>
      </c>
      <c r="O555" s="1478">
        <v>1.2150607287182642</v>
      </c>
    </row>
    <row r="556" spans="11:15">
      <c r="K556" s="1475">
        <v>42613</v>
      </c>
      <c r="L556" s="1476" t="s">
        <v>2127</v>
      </c>
      <c r="M556" s="1477">
        <v>5.2531000000000001E-2</v>
      </c>
      <c r="N556" s="1478">
        <v>1.2156990122696671</v>
      </c>
      <c r="O556" s="1478">
        <v>1.2156990122696671</v>
      </c>
    </row>
    <row r="557" spans="11:15">
      <c r="K557" s="1475">
        <v>42614</v>
      </c>
      <c r="L557" s="1476" t="s">
        <v>2127</v>
      </c>
      <c r="M557" s="1477">
        <v>5.2531000000000001E-2</v>
      </c>
      <c r="N557" s="1478">
        <v>1.2163376311178025</v>
      </c>
      <c r="O557" s="1478">
        <v>1.2163376311178025</v>
      </c>
    </row>
    <row r="558" spans="11:15">
      <c r="K558" s="1475">
        <v>42615</v>
      </c>
      <c r="L558" s="1476" t="s">
        <v>2127</v>
      </c>
      <c r="M558" s="1477">
        <v>5.2531000000000001E-2</v>
      </c>
      <c r="N558" s="1478">
        <v>1.216976585438805</v>
      </c>
      <c r="O558" s="1478">
        <v>1.216976585438805</v>
      </c>
    </row>
    <row r="559" spans="11:15">
      <c r="K559" s="1475">
        <v>42616</v>
      </c>
      <c r="L559" s="1476"/>
      <c r="M559" s="1477">
        <v>0</v>
      </c>
      <c r="N559" s="1478">
        <v>1.216976585438805</v>
      </c>
      <c r="O559" s="1478">
        <v>1.216976585438805</v>
      </c>
    </row>
    <row r="560" spans="11:15">
      <c r="K560" s="1475">
        <v>42617</v>
      </c>
      <c r="L560" s="1476"/>
      <c r="M560" s="1477">
        <v>0</v>
      </c>
      <c r="N560" s="1478">
        <v>1.216976585438805</v>
      </c>
      <c r="O560" s="1478">
        <v>1.216976585438805</v>
      </c>
    </row>
    <row r="561" spans="11:15">
      <c r="K561" s="1475">
        <v>42618</v>
      </c>
      <c r="L561" s="1476" t="s">
        <v>2127</v>
      </c>
      <c r="M561" s="1477">
        <v>5.2531000000000001E-2</v>
      </c>
      <c r="N561" s="1478">
        <v>1.2176158754089019</v>
      </c>
      <c r="O561" s="1478">
        <v>1.2176158754089019</v>
      </c>
    </row>
    <row r="562" spans="11:15">
      <c r="K562" s="1475">
        <v>42619</v>
      </c>
      <c r="L562" s="1476" t="s">
        <v>2127</v>
      </c>
      <c r="M562" s="1477">
        <v>5.2531000000000001E-2</v>
      </c>
      <c r="N562" s="1478">
        <v>1.2182555012044129</v>
      </c>
      <c r="O562" s="1478">
        <v>1.2182555012044129</v>
      </c>
    </row>
    <row r="563" spans="11:15">
      <c r="K563" s="1475">
        <v>42620</v>
      </c>
      <c r="L563" s="1476"/>
      <c r="M563" s="1477">
        <v>0</v>
      </c>
      <c r="N563" s="1478">
        <v>1.2182555012044129</v>
      </c>
      <c r="O563" s="1478">
        <v>1.2182555012044129</v>
      </c>
    </row>
    <row r="564" spans="11:15">
      <c r="K564" s="1475">
        <v>42621</v>
      </c>
      <c r="L564" s="1476" t="s">
        <v>2127</v>
      </c>
      <c r="M564" s="1477">
        <v>5.2531000000000001E-2</v>
      </c>
      <c r="N564" s="1478">
        <v>1.2188954630017506</v>
      </c>
      <c r="O564" s="1478">
        <v>1.2188954630017506</v>
      </c>
    </row>
    <row r="565" spans="11:15">
      <c r="K565" s="1475">
        <v>42622</v>
      </c>
      <c r="L565" s="1476" t="s">
        <v>2127</v>
      </c>
      <c r="M565" s="1477">
        <v>5.2531000000000001E-2</v>
      </c>
      <c r="N565" s="1478">
        <v>1.21953576097742</v>
      </c>
      <c r="O565" s="1478">
        <v>1.21953576097742</v>
      </c>
    </row>
    <row r="566" spans="11:15">
      <c r="K566" s="1475">
        <v>42623</v>
      </c>
      <c r="L566" s="1476"/>
      <c r="M566" s="1477">
        <v>0</v>
      </c>
      <c r="N566" s="1478">
        <v>1.21953576097742</v>
      </c>
      <c r="O566" s="1478">
        <v>1.21953576097742</v>
      </c>
    </row>
    <row r="567" spans="11:15">
      <c r="K567" s="1475">
        <v>42624</v>
      </c>
      <c r="L567" s="1476"/>
      <c r="M567" s="1477">
        <v>0</v>
      </c>
      <c r="N567" s="1478">
        <v>1.21953576097742</v>
      </c>
      <c r="O567" s="1478">
        <v>1.21953576097742</v>
      </c>
    </row>
    <row r="568" spans="11:15">
      <c r="K568" s="1475">
        <v>42625</v>
      </c>
      <c r="L568" s="1476" t="s">
        <v>2127</v>
      </c>
      <c r="M568" s="1477">
        <v>5.2531000000000001E-2</v>
      </c>
      <c r="N568" s="1478">
        <v>1.2201763953080191</v>
      </c>
      <c r="O568" s="1478">
        <v>1.2201763953080191</v>
      </c>
    </row>
    <row r="569" spans="11:15">
      <c r="K569" s="1475">
        <v>42626</v>
      </c>
      <c r="L569" s="1476" t="s">
        <v>2127</v>
      </c>
      <c r="M569" s="1477">
        <v>5.2531000000000001E-2</v>
      </c>
      <c r="N569" s="1478">
        <v>1.2208173661702384</v>
      </c>
      <c r="O569" s="1478">
        <v>1.2208173661702384</v>
      </c>
    </row>
    <row r="570" spans="11:15">
      <c r="K570" s="1475">
        <v>42627</v>
      </c>
      <c r="L570" s="1476" t="s">
        <v>2127</v>
      </c>
      <c r="M570" s="1477">
        <v>5.2531000000000001E-2</v>
      </c>
      <c r="N570" s="1478">
        <v>1.2214586737408613</v>
      </c>
      <c r="O570" s="1478">
        <v>1.2214586737408613</v>
      </c>
    </row>
    <row r="571" spans="11:15">
      <c r="K571" s="1475">
        <v>42628</v>
      </c>
      <c r="L571" s="1476" t="s">
        <v>2127</v>
      </c>
      <c r="M571" s="1477">
        <v>5.2531000000000001E-2</v>
      </c>
      <c r="N571" s="1478">
        <v>1.222100318196764</v>
      </c>
      <c r="O571" s="1478">
        <v>1.222100318196764</v>
      </c>
    </row>
    <row r="572" spans="11:15">
      <c r="K572" s="1475">
        <v>42629</v>
      </c>
      <c r="L572" s="1476" t="s">
        <v>2127</v>
      </c>
      <c r="M572" s="1477">
        <v>5.2531000000000001E-2</v>
      </c>
      <c r="N572" s="1478">
        <v>1.222742299714916</v>
      </c>
      <c r="O572" s="1478">
        <v>1.222742299714916</v>
      </c>
    </row>
    <row r="573" spans="11:15">
      <c r="K573" s="1475">
        <v>42630</v>
      </c>
      <c r="L573" s="1476"/>
      <c r="M573" s="1477">
        <v>0</v>
      </c>
      <c r="N573" s="1478">
        <v>1.222742299714916</v>
      </c>
      <c r="O573" s="1478">
        <v>1.222742299714916</v>
      </c>
    </row>
    <row r="574" spans="11:15">
      <c r="K574" s="1475">
        <v>42631</v>
      </c>
      <c r="L574" s="1476"/>
      <c r="M574" s="1477">
        <v>0</v>
      </c>
      <c r="N574" s="1478">
        <v>1.222742299714916</v>
      </c>
      <c r="O574" s="1478">
        <v>1.222742299714916</v>
      </c>
    </row>
    <row r="575" spans="11:15">
      <c r="K575" s="1475">
        <v>42632</v>
      </c>
      <c r="L575" s="1476" t="s">
        <v>2127</v>
      </c>
      <c r="M575" s="1477">
        <v>5.2531000000000001E-2</v>
      </c>
      <c r="N575" s="1478">
        <v>1.2233846184723793</v>
      </c>
      <c r="O575" s="1478">
        <v>1.2233846184723793</v>
      </c>
    </row>
    <row r="576" spans="11:15">
      <c r="K576" s="1475">
        <v>42633</v>
      </c>
      <c r="L576" s="1476" t="s">
        <v>2127</v>
      </c>
      <c r="M576" s="1477">
        <v>5.2531000000000001E-2</v>
      </c>
      <c r="N576" s="1478">
        <v>1.224027274646309</v>
      </c>
      <c r="O576" s="1478">
        <v>1.224027274646309</v>
      </c>
    </row>
    <row r="577" spans="11:15">
      <c r="K577" s="1475">
        <v>42634</v>
      </c>
      <c r="L577" s="1476" t="s">
        <v>2127</v>
      </c>
      <c r="M577" s="1477">
        <v>5.2531000000000001E-2</v>
      </c>
      <c r="N577" s="1478">
        <v>1.2246702684139534</v>
      </c>
      <c r="O577" s="1478">
        <v>1.2246702684139534</v>
      </c>
    </row>
    <row r="578" spans="11:15">
      <c r="K578" s="1475">
        <v>42635</v>
      </c>
      <c r="L578" s="1476" t="s">
        <v>2127</v>
      </c>
      <c r="M578" s="1477">
        <v>5.2531000000000001E-2</v>
      </c>
      <c r="N578" s="1478">
        <v>1.2253135999526539</v>
      </c>
      <c r="O578" s="1478">
        <v>1.2253135999526539</v>
      </c>
    </row>
    <row r="579" spans="11:15">
      <c r="K579" s="1475">
        <v>42636</v>
      </c>
      <c r="L579" s="1476" t="s">
        <v>2127</v>
      </c>
      <c r="M579" s="1477">
        <v>5.2531000000000001E-2</v>
      </c>
      <c r="N579" s="1478">
        <v>1.2259572694398451</v>
      </c>
      <c r="O579" s="1478">
        <v>1.2259572694398451</v>
      </c>
    </row>
    <row r="580" spans="11:15">
      <c r="K580" s="1475">
        <v>42637</v>
      </c>
      <c r="L580" s="1476"/>
      <c r="M580" s="1477">
        <v>0</v>
      </c>
      <c r="N580" s="1478">
        <v>1.2259572694398451</v>
      </c>
      <c r="O580" s="1478">
        <v>1.2259572694398451</v>
      </c>
    </row>
    <row r="581" spans="11:15">
      <c r="K581" s="1475">
        <v>42638</v>
      </c>
      <c r="L581" s="1476"/>
      <c r="M581" s="1477">
        <v>0</v>
      </c>
      <c r="N581" s="1478">
        <v>1.2259572694398451</v>
      </c>
      <c r="O581" s="1478">
        <v>1.2259572694398451</v>
      </c>
    </row>
    <row r="582" spans="11:15">
      <c r="K582" s="1475">
        <v>42639</v>
      </c>
      <c r="L582" s="1476" t="s">
        <v>2127</v>
      </c>
      <c r="M582" s="1477">
        <v>5.2531000000000001E-2</v>
      </c>
      <c r="N582" s="1478">
        <v>1.2266012770530546</v>
      </c>
      <c r="O582" s="1478">
        <v>1.2266012770530546</v>
      </c>
    </row>
    <row r="583" spans="11:15">
      <c r="K583" s="1475">
        <v>42640</v>
      </c>
      <c r="L583" s="1476" t="s">
        <v>2127</v>
      </c>
      <c r="M583" s="1477">
        <v>5.2531000000000001E-2</v>
      </c>
      <c r="N583" s="1478">
        <v>1.2272456229699034</v>
      </c>
      <c r="O583" s="1478">
        <v>1.2272456229699034</v>
      </c>
    </row>
    <row r="584" spans="11:15">
      <c r="K584" s="1475">
        <v>42641</v>
      </c>
      <c r="L584" s="1476" t="s">
        <v>2127</v>
      </c>
      <c r="M584" s="1477">
        <v>5.2531000000000001E-2</v>
      </c>
      <c r="N584" s="1478">
        <v>1.2278903073681058</v>
      </c>
      <c r="O584" s="1478">
        <v>1.2278903073681058</v>
      </c>
    </row>
    <row r="585" spans="11:15">
      <c r="K585" s="1475">
        <v>42642</v>
      </c>
      <c r="L585" s="1476" t="s">
        <v>2127</v>
      </c>
      <c r="M585" s="1477">
        <v>5.2531000000000001E-2</v>
      </c>
      <c r="N585" s="1478">
        <v>1.2285353304254694</v>
      </c>
      <c r="O585" s="1478">
        <v>1.2285353304254694</v>
      </c>
    </row>
    <row r="586" spans="11:15">
      <c r="K586" s="1475">
        <v>42643</v>
      </c>
      <c r="L586" s="1476" t="s">
        <v>2127</v>
      </c>
      <c r="M586" s="1477">
        <v>5.2531000000000001E-2</v>
      </c>
      <c r="N586" s="1478">
        <v>1.2291806923198951</v>
      </c>
      <c r="O586" s="1478">
        <v>1.2291806923198951</v>
      </c>
    </row>
    <row r="587" spans="11:15">
      <c r="K587" s="1475">
        <v>42644</v>
      </c>
      <c r="L587" s="1476"/>
      <c r="M587" s="1477">
        <v>0</v>
      </c>
      <c r="N587" s="1478">
        <v>1.2291806923198951</v>
      </c>
      <c r="O587" s="1478">
        <v>1.2291806923198951</v>
      </c>
    </row>
    <row r="588" spans="11:15">
      <c r="K588" s="1475">
        <v>42645</v>
      </c>
      <c r="L588" s="1476"/>
      <c r="M588" s="1477">
        <v>0</v>
      </c>
      <c r="N588" s="1478">
        <v>1.2291806923198951</v>
      </c>
      <c r="O588" s="1478">
        <v>1.2291806923198951</v>
      </c>
    </row>
    <row r="589" spans="11:15">
      <c r="K589" s="1475">
        <v>42646</v>
      </c>
      <c r="L589" s="1476" t="s">
        <v>2127</v>
      </c>
      <c r="M589" s="1477">
        <v>5.2531000000000001E-2</v>
      </c>
      <c r="N589" s="1478">
        <v>1.2298263932293776</v>
      </c>
      <c r="O589" s="1478">
        <v>1.2298263932293776</v>
      </c>
    </row>
    <row r="590" spans="11:15">
      <c r="K590" s="1475">
        <v>42647</v>
      </c>
      <c r="L590" s="1476" t="s">
        <v>2127</v>
      </c>
      <c r="M590" s="1477">
        <v>5.2531000000000001E-2</v>
      </c>
      <c r="N590" s="1478">
        <v>1.230472433332005</v>
      </c>
      <c r="O590" s="1478">
        <v>1.230472433332005</v>
      </c>
    </row>
    <row r="591" spans="11:15">
      <c r="K591" s="1475">
        <v>42648</v>
      </c>
      <c r="L591" s="1476" t="s">
        <v>2127</v>
      </c>
      <c r="M591" s="1477">
        <v>5.2531000000000001E-2</v>
      </c>
      <c r="N591" s="1478">
        <v>1.2311188128059587</v>
      </c>
      <c r="O591" s="1478">
        <v>1.2311188128059587</v>
      </c>
    </row>
    <row r="592" spans="11:15">
      <c r="K592" s="1475">
        <v>42649</v>
      </c>
      <c r="L592" s="1476" t="s">
        <v>2127</v>
      </c>
      <c r="M592" s="1477">
        <v>5.2531000000000001E-2</v>
      </c>
      <c r="N592" s="1478">
        <v>1.2317655318295138</v>
      </c>
      <c r="O592" s="1478">
        <v>1.2317655318295138</v>
      </c>
    </row>
    <row r="593" spans="11:15">
      <c r="K593" s="1475">
        <v>42650</v>
      </c>
      <c r="L593" s="1476" t="s">
        <v>2127</v>
      </c>
      <c r="M593" s="1477">
        <v>5.2531000000000001E-2</v>
      </c>
      <c r="N593" s="1478">
        <v>1.232412590581039</v>
      </c>
      <c r="O593" s="1478">
        <v>1.232412590581039</v>
      </c>
    </row>
    <row r="594" spans="11:15">
      <c r="K594" s="1475">
        <v>42651</v>
      </c>
      <c r="L594" s="1476"/>
      <c r="M594" s="1477">
        <v>0</v>
      </c>
      <c r="N594" s="1478">
        <v>1.232412590581039</v>
      </c>
      <c r="O594" s="1478">
        <v>1.232412590581039</v>
      </c>
    </row>
    <row r="595" spans="11:15">
      <c r="K595" s="1475">
        <v>42652</v>
      </c>
      <c r="L595" s="1476"/>
      <c r="M595" s="1477">
        <v>0</v>
      </c>
      <c r="N595" s="1478">
        <v>1.232412590581039</v>
      </c>
      <c r="O595" s="1478">
        <v>1.232412590581039</v>
      </c>
    </row>
    <row r="596" spans="11:15">
      <c r="K596" s="1475">
        <v>42653</v>
      </c>
      <c r="L596" s="1476" t="s">
        <v>2127</v>
      </c>
      <c r="M596" s="1477">
        <v>5.2531000000000001E-2</v>
      </c>
      <c r="N596" s="1478">
        <v>1.2330599892389971</v>
      </c>
      <c r="O596" s="1478">
        <v>1.2330599892389971</v>
      </c>
    </row>
    <row r="597" spans="11:15">
      <c r="K597" s="1475">
        <v>42654</v>
      </c>
      <c r="L597" s="1476" t="s">
        <v>2127</v>
      </c>
      <c r="M597" s="1477">
        <v>5.2531000000000001E-2</v>
      </c>
      <c r="N597" s="1478">
        <v>1.2337077279819442</v>
      </c>
      <c r="O597" s="1478">
        <v>1.2337077279819442</v>
      </c>
    </row>
    <row r="598" spans="11:15">
      <c r="K598" s="1475">
        <v>42655</v>
      </c>
      <c r="L598" s="1476"/>
      <c r="M598" s="1477">
        <v>0</v>
      </c>
      <c r="N598" s="1478">
        <v>1.2337077279819442</v>
      </c>
      <c r="O598" s="1478">
        <v>1.2337077279819442</v>
      </c>
    </row>
    <row r="599" spans="11:15">
      <c r="K599" s="1475">
        <v>42656</v>
      </c>
      <c r="L599" s="1476" t="s">
        <v>2127</v>
      </c>
      <c r="M599" s="1477">
        <v>5.2531000000000001E-2</v>
      </c>
      <c r="N599" s="1478">
        <v>1.2343558069885303</v>
      </c>
      <c r="O599" s="1478">
        <v>1.2343558069885303</v>
      </c>
    </row>
    <row r="600" spans="11:15">
      <c r="K600" s="1475">
        <v>42657</v>
      </c>
      <c r="L600" s="1476" t="s">
        <v>2127</v>
      </c>
      <c r="M600" s="1477">
        <v>5.2531000000000001E-2</v>
      </c>
      <c r="N600" s="1478">
        <v>1.2350042264374994</v>
      </c>
      <c r="O600" s="1478">
        <v>1.2350042264374994</v>
      </c>
    </row>
    <row r="601" spans="11:15">
      <c r="K601" s="1475">
        <v>42658</v>
      </c>
      <c r="L601" s="1476"/>
      <c r="M601" s="1477">
        <v>0</v>
      </c>
      <c r="N601" s="1478">
        <v>1.2350042264374994</v>
      </c>
      <c r="O601" s="1478">
        <v>1.2350042264374994</v>
      </c>
    </row>
    <row r="602" spans="11:15">
      <c r="K602" s="1475">
        <v>42659</v>
      </c>
      <c r="L602" s="1476"/>
      <c r="M602" s="1477">
        <v>0</v>
      </c>
      <c r="N602" s="1478">
        <v>1.2350042264374994</v>
      </c>
      <c r="O602" s="1478">
        <v>1.2350042264374994</v>
      </c>
    </row>
    <row r="603" spans="11:15">
      <c r="K603" s="1475">
        <v>42660</v>
      </c>
      <c r="L603" s="1476" t="s">
        <v>2127</v>
      </c>
      <c r="M603" s="1477">
        <v>5.2531000000000001E-2</v>
      </c>
      <c r="N603" s="1478">
        <v>1.2356529865076893</v>
      </c>
      <c r="O603" s="1478">
        <v>1.2356529865076893</v>
      </c>
    </row>
    <row r="604" spans="11:15">
      <c r="K604" s="1475">
        <v>42661</v>
      </c>
      <c r="L604" s="1476" t="s">
        <v>2127</v>
      </c>
      <c r="M604" s="1477">
        <v>5.2531000000000001E-2</v>
      </c>
      <c r="N604" s="1478">
        <v>1.2363020873780317</v>
      </c>
      <c r="O604" s="1478">
        <v>1.2363020873780317</v>
      </c>
    </row>
    <row r="605" spans="11:15">
      <c r="K605" s="1475">
        <v>42662</v>
      </c>
      <c r="L605" s="1476" t="s">
        <v>2127</v>
      </c>
      <c r="M605" s="1477">
        <v>5.2531000000000001E-2</v>
      </c>
      <c r="N605" s="1478">
        <v>1.2369515292275524</v>
      </c>
      <c r="O605" s="1478">
        <v>1.2369515292275524</v>
      </c>
    </row>
    <row r="606" spans="11:15">
      <c r="K606" s="1475">
        <v>42663</v>
      </c>
      <c r="L606" s="1476" t="s">
        <v>2127</v>
      </c>
      <c r="M606" s="1477">
        <v>5.1659999999999998E-2</v>
      </c>
      <c r="N606" s="1478">
        <v>1.2375905383875514</v>
      </c>
      <c r="O606" s="1478">
        <v>1.2376013122353708</v>
      </c>
    </row>
    <row r="607" spans="11:15">
      <c r="K607" s="1475">
        <v>42664</v>
      </c>
      <c r="L607" s="1476" t="s">
        <v>2127</v>
      </c>
      <c r="M607" s="1477">
        <v>5.1659999999999998E-2</v>
      </c>
      <c r="N607" s="1478">
        <v>1.2382298776596825</v>
      </c>
      <c r="O607" s="1478">
        <v>1.2382514365807011</v>
      </c>
    </row>
    <row r="608" spans="11:15">
      <c r="K608" s="1475">
        <v>42665</v>
      </c>
      <c r="L608" s="1476"/>
      <c r="M608" s="1477">
        <v>0</v>
      </c>
      <c r="N608" s="1478">
        <v>1.2382298776596825</v>
      </c>
      <c r="O608" s="1478">
        <v>1.2382514365807011</v>
      </c>
    </row>
    <row r="609" spans="11:15">
      <c r="K609" s="1475">
        <v>42666</v>
      </c>
      <c r="L609" s="1476"/>
      <c r="M609" s="1477">
        <v>0</v>
      </c>
      <c r="N609" s="1478">
        <v>1.2382298776596825</v>
      </c>
      <c r="O609" s="1478">
        <v>1.2382514365807011</v>
      </c>
    </row>
    <row r="610" spans="11:15">
      <c r="K610" s="1475">
        <v>42667</v>
      </c>
      <c r="L610" s="1476" t="s">
        <v>2127</v>
      </c>
      <c r="M610" s="1477">
        <v>5.1659999999999998E-2</v>
      </c>
      <c r="N610" s="1478">
        <v>1.2388695472144815</v>
      </c>
      <c r="O610" s="1478">
        <v>1.2389019024428514</v>
      </c>
    </row>
    <row r="611" spans="11:15">
      <c r="K611" s="1475">
        <v>42668</v>
      </c>
      <c r="L611" s="1476" t="s">
        <v>2127</v>
      </c>
      <c r="M611" s="1477">
        <v>5.1659999999999998E-2</v>
      </c>
      <c r="N611" s="1478">
        <v>1.2395095472225726</v>
      </c>
      <c r="O611" s="1478">
        <v>1.2395527100012236</v>
      </c>
    </row>
    <row r="612" spans="11:15">
      <c r="K612" s="1475">
        <v>42669</v>
      </c>
      <c r="L612" s="1476" t="s">
        <v>2127</v>
      </c>
      <c r="M612" s="1477">
        <v>5.1659999999999998E-2</v>
      </c>
      <c r="N612" s="1478">
        <v>1.2401498778546678</v>
      </c>
      <c r="O612" s="1478">
        <v>1.2402038594353144</v>
      </c>
    </row>
    <row r="613" spans="11:15">
      <c r="K613" s="1475">
        <v>42670</v>
      </c>
      <c r="L613" s="1476" t="s">
        <v>2127</v>
      </c>
      <c r="M613" s="1477">
        <v>5.1659999999999998E-2</v>
      </c>
      <c r="N613" s="1478">
        <v>1.2407905392815677</v>
      </c>
      <c r="O613" s="1478">
        <v>1.2408553509247144</v>
      </c>
    </row>
    <row r="614" spans="11:15">
      <c r="K614" s="1475">
        <v>42671</v>
      </c>
      <c r="L614" s="1476" t="s">
        <v>2127</v>
      </c>
      <c r="M614" s="1477">
        <v>5.1659999999999998E-2</v>
      </c>
      <c r="N614" s="1478">
        <v>1.2414315316741606</v>
      </c>
      <c r="O614" s="1478">
        <v>1.2415071846491088</v>
      </c>
    </row>
    <row r="615" spans="11:15">
      <c r="K615" s="1475">
        <v>42672</v>
      </c>
      <c r="L615" s="1476"/>
      <c r="M615" s="1477">
        <v>0</v>
      </c>
      <c r="N615" s="1478">
        <v>1.2414315316741606</v>
      </c>
      <c r="O615" s="1478">
        <v>1.2415071846491088</v>
      </c>
    </row>
    <row r="616" spans="11:15">
      <c r="K616" s="1475">
        <v>42673</v>
      </c>
      <c r="L616" s="1476"/>
      <c r="M616" s="1477">
        <v>0</v>
      </c>
      <c r="N616" s="1478">
        <v>1.2414315316741606</v>
      </c>
      <c r="O616" s="1478">
        <v>1.2415071846491088</v>
      </c>
    </row>
    <row r="617" spans="11:15">
      <c r="K617" s="1475">
        <v>42674</v>
      </c>
      <c r="L617" s="1476" t="s">
        <v>2127</v>
      </c>
      <c r="M617" s="1477">
        <v>5.1659999999999998E-2</v>
      </c>
      <c r="N617" s="1478">
        <v>1.2420728552034237</v>
      </c>
      <c r="O617" s="1478">
        <v>1.2421593607882768</v>
      </c>
    </row>
    <row r="618" spans="11:15">
      <c r="K618" s="1475">
        <v>42675</v>
      </c>
      <c r="L618" s="1476" t="s">
        <v>2127</v>
      </c>
      <c r="M618" s="1477">
        <v>5.1659999999999998E-2</v>
      </c>
      <c r="N618" s="1478">
        <v>1.242714510040422</v>
      </c>
      <c r="O618" s="1478">
        <v>1.2428118795220926</v>
      </c>
    </row>
    <row r="619" spans="11:15">
      <c r="K619" s="1475">
        <v>42676</v>
      </c>
      <c r="L619" s="1476"/>
      <c r="M619" s="1477">
        <v>0</v>
      </c>
      <c r="N619" s="1478">
        <v>1.242714510040422</v>
      </c>
      <c r="O619" s="1478">
        <v>1.2428118795220926</v>
      </c>
    </row>
    <row r="620" spans="11:15">
      <c r="K620" s="1475">
        <v>42677</v>
      </c>
      <c r="L620" s="1476" t="s">
        <v>2127</v>
      </c>
      <c r="M620" s="1477">
        <v>5.1659999999999998E-2</v>
      </c>
      <c r="N620" s="1478">
        <v>1.2433564963563091</v>
      </c>
      <c r="O620" s="1478">
        <v>1.2434647410305244</v>
      </c>
    </row>
    <row r="621" spans="11:15">
      <c r="K621" s="1475">
        <v>42678</v>
      </c>
      <c r="L621" s="1476" t="s">
        <v>2127</v>
      </c>
      <c r="M621" s="1477">
        <v>5.1659999999999998E-2</v>
      </c>
      <c r="N621" s="1478">
        <v>1.2439988143223268</v>
      </c>
      <c r="O621" s="1478">
        <v>1.2441179454936351</v>
      </c>
    </row>
    <row r="622" spans="11:15">
      <c r="K622" s="1475">
        <v>42679</v>
      </c>
      <c r="L622" s="1476"/>
      <c r="M622" s="1477">
        <v>0</v>
      </c>
      <c r="N622" s="1478">
        <v>1.2439988143223268</v>
      </c>
      <c r="O622" s="1478">
        <v>1.2441179454936351</v>
      </c>
    </row>
    <row r="623" spans="11:15">
      <c r="K623" s="1475">
        <v>42680</v>
      </c>
      <c r="L623" s="1476"/>
      <c r="M623" s="1477">
        <v>0</v>
      </c>
      <c r="N623" s="1478">
        <v>1.2439988143223268</v>
      </c>
      <c r="O623" s="1478">
        <v>1.2441179454936351</v>
      </c>
    </row>
    <row r="624" spans="11:15">
      <c r="K624" s="1475">
        <v>42681</v>
      </c>
      <c r="L624" s="1476" t="s">
        <v>2127</v>
      </c>
      <c r="M624" s="1477">
        <v>5.1659999999999998E-2</v>
      </c>
      <c r="N624" s="1478">
        <v>1.2446414641098058</v>
      </c>
      <c r="O624" s="1478">
        <v>1.2447714930915823</v>
      </c>
    </row>
    <row r="625" spans="11:15">
      <c r="K625" s="1475">
        <v>42682</v>
      </c>
      <c r="L625" s="1476" t="s">
        <v>2127</v>
      </c>
      <c r="M625" s="1477">
        <v>5.1659999999999998E-2</v>
      </c>
      <c r="N625" s="1478">
        <v>1.2452844458901651</v>
      </c>
      <c r="O625" s="1478">
        <v>1.2454253840046183</v>
      </c>
    </row>
    <row r="626" spans="11:15">
      <c r="K626" s="1475">
        <v>42683</v>
      </c>
      <c r="L626" s="1476" t="s">
        <v>2127</v>
      </c>
      <c r="M626" s="1477">
        <v>5.1659999999999998E-2</v>
      </c>
      <c r="N626" s="1478">
        <v>1.2459277598349121</v>
      </c>
      <c r="O626" s="1478">
        <v>1.2460796184130898</v>
      </c>
    </row>
    <row r="627" spans="11:15">
      <c r="K627" s="1475">
        <v>42684</v>
      </c>
      <c r="L627" s="1476" t="s">
        <v>2127</v>
      </c>
      <c r="M627" s="1477">
        <v>5.1659999999999998E-2</v>
      </c>
      <c r="N627" s="1478">
        <v>1.246571406115643</v>
      </c>
      <c r="O627" s="1478">
        <v>1.2467341964974383</v>
      </c>
    </row>
    <row r="628" spans="11:15">
      <c r="K628" s="1475">
        <v>42685</v>
      </c>
      <c r="L628" s="1476" t="s">
        <v>2127</v>
      </c>
      <c r="M628" s="1477">
        <v>5.1659999999999998E-2</v>
      </c>
      <c r="N628" s="1478">
        <v>1.2472153849040424</v>
      </c>
      <c r="O628" s="1478">
        <v>1.2473891184382004</v>
      </c>
    </row>
    <row r="629" spans="11:15">
      <c r="K629" s="1475">
        <v>42686</v>
      </c>
      <c r="L629" s="1476"/>
      <c r="M629" s="1477">
        <v>0</v>
      </c>
      <c r="N629" s="1478">
        <v>1.2472153849040424</v>
      </c>
      <c r="O629" s="1478">
        <v>1.2473891184382004</v>
      </c>
    </row>
    <row r="630" spans="11:15">
      <c r="K630" s="1475">
        <v>42687</v>
      </c>
      <c r="L630" s="1476"/>
      <c r="M630" s="1477">
        <v>0</v>
      </c>
      <c r="N630" s="1478">
        <v>1.2472153849040424</v>
      </c>
      <c r="O630" s="1478">
        <v>1.2473891184382004</v>
      </c>
    </row>
    <row r="631" spans="11:15">
      <c r="K631" s="1475">
        <v>42688</v>
      </c>
      <c r="L631" s="1476" t="s">
        <v>2127</v>
      </c>
      <c r="M631" s="1477">
        <v>5.1659999999999998E-2</v>
      </c>
      <c r="N631" s="1478">
        <v>1.247859696371884</v>
      </c>
      <c r="O631" s="1478">
        <v>1.2480443844160072</v>
      </c>
    </row>
    <row r="632" spans="11:15">
      <c r="K632" s="1475">
        <v>42689</v>
      </c>
      <c r="L632" s="1476"/>
      <c r="M632" s="1477">
        <v>0</v>
      </c>
      <c r="N632" s="1478">
        <v>1.247859696371884</v>
      </c>
      <c r="O632" s="1478">
        <v>1.2480443844160072</v>
      </c>
    </row>
    <row r="633" spans="11:15">
      <c r="K633" s="1475">
        <v>42690</v>
      </c>
      <c r="L633" s="1476" t="s">
        <v>2127</v>
      </c>
      <c r="M633" s="1477">
        <v>5.1659999999999998E-2</v>
      </c>
      <c r="N633" s="1478">
        <v>1.2485043406910299</v>
      </c>
      <c r="O633" s="1478">
        <v>1.2486999946115847</v>
      </c>
    </row>
    <row r="634" spans="11:15">
      <c r="K634" s="1475">
        <v>42691</v>
      </c>
      <c r="L634" s="1476" t="s">
        <v>2127</v>
      </c>
      <c r="M634" s="1477">
        <v>5.1659999999999998E-2</v>
      </c>
      <c r="N634" s="1478">
        <v>1.249149318033431</v>
      </c>
      <c r="O634" s="1478">
        <v>1.249355949205754</v>
      </c>
    </row>
    <row r="635" spans="11:15">
      <c r="K635" s="1475">
        <v>42692</v>
      </c>
      <c r="L635" s="1476" t="s">
        <v>2127</v>
      </c>
      <c r="M635" s="1477">
        <v>5.1659999999999998E-2</v>
      </c>
      <c r="N635" s="1478">
        <v>1.2497946285711272</v>
      </c>
      <c r="O635" s="1478">
        <v>1.2500122483794314</v>
      </c>
    </row>
    <row r="636" spans="11:15">
      <c r="K636" s="1475">
        <v>42693</v>
      </c>
      <c r="L636" s="1476"/>
      <c r="M636" s="1477">
        <v>0</v>
      </c>
      <c r="N636" s="1478">
        <v>1.2497946285711272</v>
      </c>
      <c r="O636" s="1478">
        <v>1.2500122483794314</v>
      </c>
    </row>
    <row r="637" spans="11:15">
      <c r="K637" s="1475">
        <v>42694</v>
      </c>
      <c r="L637" s="1476"/>
      <c r="M637" s="1477">
        <v>0</v>
      </c>
      <c r="N637" s="1478">
        <v>1.2497946285711272</v>
      </c>
      <c r="O637" s="1478">
        <v>1.2500122483794314</v>
      </c>
    </row>
    <row r="638" spans="11:15">
      <c r="K638" s="1475">
        <v>42695</v>
      </c>
      <c r="L638" s="1476" t="s">
        <v>2127</v>
      </c>
      <c r="M638" s="1477">
        <v>5.1659999999999998E-2</v>
      </c>
      <c r="N638" s="1478">
        <v>1.2504402724762471</v>
      </c>
      <c r="O638" s="1478">
        <v>1.2506688923136275</v>
      </c>
    </row>
    <row r="639" spans="11:15">
      <c r="K639" s="1475">
        <v>42696</v>
      </c>
      <c r="L639" s="1476" t="s">
        <v>2127</v>
      </c>
      <c r="M639" s="1477">
        <v>5.1659999999999998E-2</v>
      </c>
      <c r="N639" s="1478">
        <v>1.2510862499210085</v>
      </c>
      <c r="O639" s="1478">
        <v>1.2513258811894488</v>
      </c>
    </row>
    <row r="640" spans="11:15">
      <c r="K640" s="1475">
        <v>42697</v>
      </c>
      <c r="L640" s="1476" t="s">
        <v>2127</v>
      </c>
      <c r="M640" s="1477">
        <v>5.1659999999999998E-2</v>
      </c>
      <c r="N640" s="1478">
        <v>1.2517325610777177</v>
      </c>
      <c r="O640" s="1478">
        <v>1.2519832151880963</v>
      </c>
    </row>
    <row r="641" spans="11:15">
      <c r="K641" s="1475">
        <v>42698</v>
      </c>
      <c r="L641" s="1476" t="s">
        <v>2127</v>
      </c>
      <c r="M641" s="1477">
        <v>5.1659999999999998E-2</v>
      </c>
      <c r="N641" s="1478">
        <v>1.2523792061187706</v>
      </c>
      <c r="O641" s="1478">
        <v>1.2526408944908667</v>
      </c>
    </row>
    <row r="642" spans="11:15">
      <c r="K642" s="1475">
        <v>42699</v>
      </c>
      <c r="L642" s="1476" t="s">
        <v>2127</v>
      </c>
      <c r="M642" s="1477">
        <v>5.1659999999999998E-2</v>
      </c>
      <c r="N642" s="1478">
        <v>1.2530261852166518</v>
      </c>
      <c r="O642" s="1478">
        <v>1.2532989192791517</v>
      </c>
    </row>
    <row r="643" spans="11:15">
      <c r="K643" s="1475">
        <v>42700</v>
      </c>
      <c r="L643" s="1476"/>
      <c r="M643" s="1477">
        <v>0</v>
      </c>
      <c r="N643" s="1478">
        <v>1.2530261852166518</v>
      </c>
      <c r="O643" s="1478">
        <v>1.2532989192791517</v>
      </c>
    </row>
    <row r="644" spans="11:15">
      <c r="K644" s="1475">
        <v>42701</v>
      </c>
      <c r="L644" s="1476"/>
      <c r="M644" s="1477">
        <v>0</v>
      </c>
      <c r="N644" s="1478">
        <v>1.2530261852166518</v>
      </c>
      <c r="O644" s="1478">
        <v>1.2532989192791517</v>
      </c>
    </row>
    <row r="645" spans="11:15">
      <c r="K645" s="1475">
        <v>42702</v>
      </c>
      <c r="L645" s="1476" t="s">
        <v>2127</v>
      </c>
      <c r="M645" s="1477">
        <v>5.1659999999999998E-2</v>
      </c>
      <c r="N645" s="1478">
        <v>1.2536734985439348</v>
      </c>
      <c r="O645" s="1478">
        <v>1.2539572897344382</v>
      </c>
    </row>
    <row r="646" spans="11:15">
      <c r="K646" s="1475">
        <v>42703</v>
      </c>
      <c r="L646" s="1476" t="s">
        <v>2127</v>
      </c>
      <c r="M646" s="1477">
        <v>5.1659999999999998E-2</v>
      </c>
      <c r="N646" s="1478">
        <v>1.2543211462732828</v>
      </c>
      <c r="O646" s="1478">
        <v>1.2546160060383087</v>
      </c>
    </row>
    <row r="647" spans="11:15">
      <c r="K647" s="1475">
        <v>42704</v>
      </c>
      <c r="L647" s="1476" t="s">
        <v>2127</v>
      </c>
      <c r="M647" s="1477">
        <v>5.1659999999999998E-2</v>
      </c>
      <c r="N647" s="1478">
        <v>1.2549691285774478</v>
      </c>
      <c r="O647" s="1478">
        <v>1.2552750683724407</v>
      </c>
    </row>
    <row r="648" spans="11:15">
      <c r="K648" s="1475">
        <v>42705</v>
      </c>
      <c r="L648" s="1476" t="s">
        <v>2127</v>
      </c>
      <c r="M648" s="1477">
        <v>5.0788E-2</v>
      </c>
      <c r="N648" s="1478">
        <v>1.2556065022984697</v>
      </c>
      <c r="O648" s="1478">
        <v>1.2559344769186074</v>
      </c>
    </row>
    <row r="649" spans="11:15">
      <c r="K649" s="1475">
        <v>42706</v>
      </c>
      <c r="L649" s="1476" t="s">
        <v>2127</v>
      </c>
      <c r="M649" s="1477">
        <v>5.0788E-2</v>
      </c>
      <c r="N649" s="1478">
        <v>1.2562441997288571</v>
      </c>
      <c r="O649" s="1478">
        <v>1.2565942318586776</v>
      </c>
    </row>
    <row r="650" spans="11:15">
      <c r="K650" s="1475">
        <v>42707</v>
      </c>
      <c r="L650" s="1476"/>
      <c r="M650" s="1477">
        <v>0</v>
      </c>
      <c r="N650" s="1478">
        <v>1.2562441997288571</v>
      </c>
      <c r="O650" s="1478">
        <v>1.2565942318586776</v>
      </c>
    </row>
    <row r="651" spans="11:15">
      <c r="K651" s="1475">
        <v>42708</v>
      </c>
      <c r="L651" s="1476"/>
      <c r="M651" s="1477">
        <v>0</v>
      </c>
      <c r="N651" s="1478">
        <v>1.2562441997288571</v>
      </c>
      <c r="O651" s="1478">
        <v>1.2565942318586776</v>
      </c>
    </row>
    <row r="652" spans="11:15">
      <c r="K652" s="1475">
        <v>42709</v>
      </c>
      <c r="L652" s="1476" t="s">
        <v>2127</v>
      </c>
      <c r="M652" s="1477">
        <v>5.0788E-2</v>
      </c>
      <c r="N652" s="1478">
        <v>1.2568822210330155</v>
      </c>
      <c r="O652" s="1478">
        <v>1.2572543333746153</v>
      </c>
    </row>
    <row r="653" spans="11:15">
      <c r="K653" s="1475">
        <v>42710</v>
      </c>
      <c r="L653" s="1476" t="s">
        <v>2127</v>
      </c>
      <c r="M653" s="1477">
        <v>5.0788E-2</v>
      </c>
      <c r="N653" s="1478">
        <v>1.2575205663754339</v>
      </c>
      <c r="O653" s="1478">
        <v>1.2579147816484804</v>
      </c>
    </row>
    <row r="654" spans="11:15">
      <c r="K654" s="1475">
        <v>42711</v>
      </c>
      <c r="L654" s="1476" t="s">
        <v>2127</v>
      </c>
      <c r="M654" s="1477">
        <v>5.0788E-2</v>
      </c>
      <c r="N654" s="1478">
        <v>1.2581592359206846</v>
      </c>
      <c r="O654" s="1478">
        <v>1.258575576862428</v>
      </c>
    </row>
    <row r="655" spans="11:15">
      <c r="K655" s="1475">
        <v>42712</v>
      </c>
      <c r="L655" s="1476" t="s">
        <v>2127</v>
      </c>
      <c r="M655" s="1477">
        <v>5.0788E-2</v>
      </c>
      <c r="N655" s="1478">
        <v>1.2587982298334239</v>
      </c>
      <c r="O655" s="1478">
        <v>1.2592367191987097</v>
      </c>
    </row>
    <row r="656" spans="11:15">
      <c r="K656" s="1475">
        <v>42713</v>
      </c>
      <c r="L656" s="1476" t="s">
        <v>2127</v>
      </c>
      <c r="M656" s="1477">
        <v>5.0788E-2</v>
      </c>
      <c r="N656" s="1478">
        <v>1.2594375482783917</v>
      </c>
      <c r="O656" s="1478">
        <v>1.259898208839672</v>
      </c>
    </row>
    <row r="657" spans="11:15">
      <c r="K657" s="1475">
        <v>42714</v>
      </c>
      <c r="L657" s="1476"/>
      <c r="M657" s="1477">
        <v>0</v>
      </c>
      <c r="N657" s="1478">
        <v>1.2594375482783917</v>
      </c>
      <c r="O657" s="1478">
        <v>1.259898208839672</v>
      </c>
    </row>
    <row r="658" spans="11:15">
      <c r="K658" s="1475">
        <v>42715</v>
      </c>
      <c r="L658" s="1476"/>
      <c r="M658" s="1477">
        <v>0</v>
      </c>
      <c r="N658" s="1478">
        <v>1.2594375482783917</v>
      </c>
      <c r="O658" s="1478">
        <v>1.259898208839672</v>
      </c>
    </row>
    <row r="659" spans="11:15">
      <c r="K659" s="1475">
        <v>42716</v>
      </c>
      <c r="L659" s="1476" t="s">
        <v>2127</v>
      </c>
      <c r="M659" s="1477">
        <v>5.0788E-2</v>
      </c>
      <c r="N659" s="1478">
        <v>1.2600771914204114</v>
      </c>
      <c r="O659" s="1478">
        <v>1.2605600459677575</v>
      </c>
    </row>
    <row r="660" spans="11:15">
      <c r="K660" s="1475">
        <v>42717</v>
      </c>
      <c r="L660" s="1476" t="s">
        <v>2127</v>
      </c>
      <c r="M660" s="1477">
        <v>5.0788E-2</v>
      </c>
      <c r="N660" s="1478">
        <v>1.26071715942439</v>
      </c>
      <c r="O660" s="1478">
        <v>1.2612222307655048</v>
      </c>
    </row>
    <row r="661" spans="11:15">
      <c r="K661" s="1475">
        <v>42718</v>
      </c>
      <c r="L661" s="1476" t="s">
        <v>2127</v>
      </c>
      <c r="M661" s="1477">
        <v>5.0788E-2</v>
      </c>
      <c r="N661" s="1478">
        <v>1.2613574524553184</v>
      </c>
      <c r="O661" s="1478">
        <v>1.2618847634155481</v>
      </c>
    </row>
    <row r="662" spans="11:15">
      <c r="K662" s="1475">
        <v>42719</v>
      </c>
      <c r="L662" s="1476" t="s">
        <v>2127</v>
      </c>
      <c r="M662" s="1477">
        <v>5.0788E-2</v>
      </c>
      <c r="N662" s="1478">
        <v>1.2619980706782714</v>
      </c>
      <c r="O662" s="1478">
        <v>1.262547644100618</v>
      </c>
    </row>
    <row r="663" spans="11:15">
      <c r="K663" s="1475">
        <v>42720</v>
      </c>
      <c r="L663" s="1476" t="s">
        <v>2127</v>
      </c>
      <c r="M663" s="1477">
        <v>5.0788E-2</v>
      </c>
      <c r="N663" s="1478">
        <v>1.2626390142584074</v>
      </c>
      <c r="O663" s="1478">
        <v>1.2632108730035405</v>
      </c>
    </row>
    <row r="664" spans="11:15">
      <c r="K664" s="1475">
        <v>42721</v>
      </c>
      <c r="L664" s="1476"/>
      <c r="M664" s="1477">
        <v>0</v>
      </c>
      <c r="N664" s="1478">
        <v>1.2626390142584074</v>
      </c>
      <c r="O664" s="1478">
        <v>1.2632108730035405</v>
      </c>
    </row>
    <row r="665" spans="11:15">
      <c r="K665" s="1475">
        <v>42722</v>
      </c>
      <c r="L665" s="1476"/>
      <c r="M665" s="1477">
        <v>0</v>
      </c>
      <c r="N665" s="1478">
        <v>1.2626390142584074</v>
      </c>
      <c r="O665" s="1478">
        <v>1.2632108730035405</v>
      </c>
    </row>
    <row r="666" spans="11:15">
      <c r="K666" s="1475">
        <v>42723</v>
      </c>
      <c r="L666" s="1476" t="s">
        <v>2127</v>
      </c>
      <c r="M666" s="1477">
        <v>5.0788E-2</v>
      </c>
      <c r="N666" s="1478">
        <v>1.2632802833609691</v>
      </c>
      <c r="O666" s="1478">
        <v>1.2638744503072381</v>
      </c>
    </row>
    <row r="667" spans="11:15">
      <c r="K667" s="1475">
        <v>42724</v>
      </c>
      <c r="L667" s="1476" t="s">
        <v>2127</v>
      </c>
      <c r="M667" s="1477">
        <v>5.0788E-2</v>
      </c>
      <c r="N667" s="1478">
        <v>1.2639218781512824</v>
      </c>
      <c r="O667" s="1478">
        <v>1.2645383761947291</v>
      </c>
    </row>
    <row r="668" spans="11:15">
      <c r="K668" s="1475">
        <v>42725</v>
      </c>
      <c r="L668" s="1476" t="s">
        <v>2127</v>
      </c>
      <c r="M668" s="1477">
        <v>5.0788E-2</v>
      </c>
      <c r="N668" s="1478">
        <v>1.264563798794758</v>
      </c>
      <c r="O668" s="1478">
        <v>1.2652026508491279</v>
      </c>
    </row>
    <row r="669" spans="11:15">
      <c r="K669" s="1475">
        <v>42726</v>
      </c>
      <c r="L669" s="1476" t="s">
        <v>2127</v>
      </c>
      <c r="M669" s="1477">
        <v>5.0788E-2</v>
      </c>
      <c r="N669" s="1478">
        <v>1.2652060454568899</v>
      </c>
      <c r="O669" s="1478">
        <v>1.2658672744536454</v>
      </c>
    </row>
    <row r="670" spans="11:15">
      <c r="K670" s="1475">
        <v>42727</v>
      </c>
      <c r="L670" s="1476" t="s">
        <v>2127</v>
      </c>
      <c r="M670" s="1477">
        <v>5.0788E-2</v>
      </c>
      <c r="N670" s="1478">
        <v>1.2658486183032565</v>
      </c>
      <c r="O670" s="1478">
        <v>1.2665322471915887</v>
      </c>
    </row>
    <row r="671" spans="11:15">
      <c r="K671" s="1475">
        <v>42728</v>
      </c>
      <c r="L671" s="1476"/>
      <c r="M671" s="1477">
        <v>0</v>
      </c>
      <c r="N671" s="1478">
        <v>1.2658486183032565</v>
      </c>
      <c r="O671" s="1478">
        <v>1.2665322471915887</v>
      </c>
    </row>
    <row r="672" spans="11:15">
      <c r="K672" s="1475">
        <v>42729</v>
      </c>
      <c r="L672" s="1476"/>
      <c r="M672" s="1477">
        <v>0</v>
      </c>
      <c r="N672" s="1478">
        <v>1.2658486183032565</v>
      </c>
      <c r="O672" s="1478">
        <v>1.2665322471915887</v>
      </c>
    </row>
    <row r="673" spans="11:15">
      <c r="K673" s="1475">
        <v>42730</v>
      </c>
      <c r="L673" s="1476" t="s">
        <v>2127</v>
      </c>
      <c r="M673" s="1477">
        <v>5.0788E-2</v>
      </c>
      <c r="N673" s="1478">
        <v>1.2664915174995204</v>
      </c>
      <c r="O673" s="1478">
        <v>1.2671975692463611</v>
      </c>
    </row>
    <row r="674" spans="11:15">
      <c r="K674" s="1475">
        <v>42731</v>
      </c>
      <c r="L674" s="1476" t="s">
        <v>2127</v>
      </c>
      <c r="M674" s="1477">
        <v>5.0788E-2</v>
      </c>
      <c r="N674" s="1478">
        <v>1.2671347432114282</v>
      </c>
      <c r="O674" s="1478">
        <v>1.2678632408014618</v>
      </c>
    </row>
    <row r="675" spans="11:15">
      <c r="K675" s="1475">
        <v>42732</v>
      </c>
      <c r="L675" s="1476" t="s">
        <v>2127</v>
      </c>
      <c r="M675" s="1477">
        <v>5.0788E-2</v>
      </c>
      <c r="N675" s="1478">
        <v>1.2677782956048105</v>
      </c>
      <c r="O675" s="1478">
        <v>1.2685292620404873</v>
      </c>
    </row>
    <row r="676" spans="11:15">
      <c r="K676" s="1475">
        <v>42733</v>
      </c>
      <c r="L676" s="1476" t="s">
        <v>2127</v>
      </c>
      <c r="M676" s="1477">
        <v>5.0788E-2</v>
      </c>
      <c r="N676" s="1478">
        <v>1.2684221748455822</v>
      </c>
      <c r="O676" s="1478">
        <v>1.2691956331471299</v>
      </c>
    </row>
    <row r="677" spans="11:15">
      <c r="K677" s="1475">
        <v>42734</v>
      </c>
      <c r="L677" s="1476" t="s">
        <v>2127</v>
      </c>
      <c r="M677" s="1477">
        <v>5.0788E-2</v>
      </c>
      <c r="N677" s="1478">
        <v>1.2690663810997427</v>
      </c>
      <c r="O677" s="1478">
        <v>1.2698623543051784</v>
      </c>
    </row>
    <row r="678" spans="11:15">
      <c r="K678" s="1475">
        <v>42735</v>
      </c>
      <c r="L678" s="1476"/>
      <c r="M678" s="1477">
        <v>0</v>
      </c>
      <c r="N678" s="1478">
        <v>1.2690663810997427</v>
      </c>
      <c r="O678" s="1478">
        <v>1.2698623543051784</v>
      </c>
    </row>
    <row r="679" spans="11:15">
      <c r="K679" s="1475">
        <v>42736</v>
      </c>
      <c r="L679" s="1476"/>
      <c r="M679" s="1477">
        <v>0</v>
      </c>
      <c r="N679" s="1478">
        <v>1.2690663810997427</v>
      </c>
      <c r="O679" s="1478">
        <v>1.2698623543051784</v>
      </c>
    </row>
    <row r="680" spans="11:15">
      <c r="K680" s="1475">
        <v>42737</v>
      </c>
      <c r="L680" s="1476" t="s">
        <v>2127</v>
      </c>
      <c r="M680" s="1477">
        <v>5.0788E-2</v>
      </c>
      <c r="N680" s="1478">
        <v>1.2697109145333756</v>
      </c>
      <c r="O680" s="1478">
        <v>1.2705294256985185</v>
      </c>
    </row>
    <row r="681" spans="11:15">
      <c r="K681" s="1475">
        <v>42738</v>
      </c>
      <c r="L681" s="1476" t="s">
        <v>2127</v>
      </c>
      <c r="M681" s="1477">
        <v>5.0788E-2</v>
      </c>
      <c r="N681" s="1478">
        <v>1.2703557753126489</v>
      </c>
      <c r="O681" s="1478">
        <v>1.2711968475111322</v>
      </c>
    </row>
    <row r="682" spans="11:15">
      <c r="K682" s="1475">
        <v>42739</v>
      </c>
      <c r="L682" s="1476" t="s">
        <v>2127</v>
      </c>
      <c r="M682" s="1477">
        <v>5.0788E-2</v>
      </c>
      <c r="N682" s="1478">
        <v>1.2710009636038146</v>
      </c>
      <c r="O682" s="1478">
        <v>1.2718646199270982</v>
      </c>
    </row>
    <row r="683" spans="11:15">
      <c r="K683" s="1475">
        <v>42740</v>
      </c>
      <c r="L683" s="1476" t="s">
        <v>2127</v>
      </c>
      <c r="M683" s="1477">
        <v>5.0788E-2</v>
      </c>
      <c r="N683" s="1478">
        <v>1.2716464795732099</v>
      </c>
      <c r="O683" s="1478">
        <v>1.2725327431305922</v>
      </c>
    </row>
    <row r="684" spans="11:15">
      <c r="K684" s="1475">
        <v>42741</v>
      </c>
      <c r="L684" s="1476" t="s">
        <v>2127</v>
      </c>
      <c r="M684" s="1477">
        <v>5.0788E-2</v>
      </c>
      <c r="N684" s="1478">
        <v>1.2722923233872556</v>
      </c>
      <c r="O684" s="1478">
        <v>1.2732012173058862</v>
      </c>
    </row>
    <row r="685" spans="11:15">
      <c r="K685" s="1475">
        <v>42742</v>
      </c>
      <c r="L685" s="1476"/>
      <c r="M685" s="1477">
        <v>0</v>
      </c>
      <c r="N685" s="1478">
        <v>1.2722923233872556</v>
      </c>
      <c r="O685" s="1478">
        <v>1.2732012173058862</v>
      </c>
    </row>
    <row r="686" spans="11:15">
      <c r="K686" s="1475">
        <v>42743</v>
      </c>
      <c r="L686" s="1476"/>
      <c r="M686" s="1477">
        <v>0</v>
      </c>
      <c r="N686" s="1478">
        <v>1.2722923233872556</v>
      </c>
      <c r="O686" s="1478">
        <v>1.2732012173058862</v>
      </c>
    </row>
    <row r="687" spans="11:15">
      <c r="K687" s="1475">
        <v>42744</v>
      </c>
      <c r="L687" s="1476" t="s">
        <v>2127</v>
      </c>
      <c r="M687" s="1477">
        <v>5.0788E-2</v>
      </c>
      <c r="N687" s="1478">
        <v>1.2729384952124576</v>
      </c>
      <c r="O687" s="1478">
        <v>1.2738700426373493</v>
      </c>
    </row>
    <row r="688" spans="11:15">
      <c r="K688" s="1475">
        <v>42745</v>
      </c>
      <c r="L688" s="1476" t="s">
        <v>2127</v>
      </c>
      <c r="M688" s="1477">
        <v>5.0788E-2</v>
      </c>
      <c r="N688" s="1478">
        <v>1.2735849952154061</v>
      </c>
      <c r="O688" s="1478">
        <v>1.2745392193094471</v>
      </c>
    </row>
    <row r="689" spans="11:15">
      <c r="K689" s="1475">
        <v>42746</v>
      </c>
      <c r="L689" s="1476" t="s">
        <v>2127</v>
      </c>
      <c r="M689" s="1477">
        <v>5.0788E-2</v>
      </c>
      <c r="N689" s="1478">
        <v>1.2742318235627761</v>
      </c>
      <c r="O689" s="1478">
        <v>1.2752087475067426</v>
      </c>
    </row>
    <row r="690" spans="11:15">
      <c r="K690" s="1475">
        <v>42747</v>
      </c>
      <c r="L690" s="1476" t="s">
        <v>2127</v>
      </c>
      <c r="M690" s="1477">
        <v>4.8159E-2</v>
      </c>
      <c r="N690" s="1478">
        <v>1.2748454808666856</v>
      </c>
      <c r="O690" s="1478">
        <v>1.2758786274138953</v>
      </c>
    </row>
    <row r="691" spans="11:15">
      <c r="K691" s="1475">
        <v>42748</v>
      </c>
      <c r="L691" s="1476" t="s">
        <v>2127</v>
      </c>
      <c r="M691" s="1477">
        <v>4.8159E-2</v>
      </c>
      <c r="N691" s="1478">
        <v>1.2754594337018161</v>
      </c>
      <c r="O691" s="1478">
        <v>1.2765488592156622</v>
      </c>
    </row>
    <row r="692" spans="11:15">
      <c r="K692" s="1475">
        <v>42749</v>
      </c>
      <c r="L692" s="1476"/>
      <c r="M692" s="1477">
        <v>0</v>
      </c>
      <c r="N692" s="1478">
        <v>1.2754594337018161</v>
      </c>
      <c r="O692" s="1478">
        <v>1.2765488592156622</v>
      </c>
    </row>
    <row r="693" spans="11:15">
      <c r="K693" s="1475">
        <v>42750</v>
      </c>
      <c r="L693" s="1476"/>
      <c r="M693" s="1477">
        <v>0</v>
      </c>
      <c r="N693" s="1478">
        <v>1.2754594337018161</v>
      </c>
      <c r="O693" s="1478">
        <v>1.2765488592156622</v>
      </c>
    </row>
    <row r="694" spans="11:15">
      <c r="K694" s="1475">
        <v>42751</v>
      </c>
      <c r="L694" s="1476" t="s">
        <v>2127</v>
      </c>
      <c r="M694" s="1477">
        <v>4.8159E-2</v>
      </c>
      <c r="N694" s="1478">
        <v>1.2760736822104926</v>
      </c>
      <c r="O694" s="1478">
        <v>1.2772194430968968</v>
      </c>
    </row>
    <row r="695" spans="11:15">
      <c r="K695" s="1475">
        <v>42752</v>
      </c>
      <c r="L695" s="1476" t="s">
        <v>2127</v>
      </c>
      <c r="M695" s="1477">
        <v>4.8159E-2</v>
      </c>
      <c r="N695" s="1478">
        <v>1.2766882265351083</v>
      </c>
      <c r="O695" s="1478">
        <v>1.27789037924255</v>
      </c>
    </row>
    <row r="696" spans="11:15">
      <c r="K696" s="1475">
        <v>42753</v>
      </c>
      <c r="L696" s="1476" t="s">
        <v>2127</v>
      </c>
      <c r="M696" s="1477">
        <v>4.8159E-2</v>
      </c>
      <c r="N696" s="1478">
        <v>1.2773030668181251</v>
      </c>
      <c r="O696" s="1478">
        <v>1.2785616678376699</v>
      </c>
    </row>
    <row r="697" spans="11:15">
      <c r="K697" s="1475">
        <v>42754</v>
      </c>
      <c r="L697" s="1476" t="s">
        <v>2127</v>
      </c>
      <c r="M697" s="1477">
        <v>4.8159E-2</v>
      </c>
      <c r="N697" s="1478">
        <v>1.2779182032020739</v>
      </c>
      <c r="O697" s="1478">
        <v>1.2792333090674017</v>
      </c>
    </row>
    <row r="698" spans="11:15">
      <c r="K698" s="1475">
        <v>42755</v>
      </c>
      <c r="L698" s="1476" t="s">
        <v>2127</v>
      </c>
      <c r="M698" s="1477">
        <v>4.8159E-2</v>
      </c>
      <c r="N698" s="1478">
        <v>1.278533635829554</v>
      </c>
      <c r="O698" s="1478">
        <v>1.279905303116988</v>
      </c>
    </row>
    <row r="699" spans="11:15">
      <c r="K699" s="1475">
        <v>42756</v>
      </c>
      <c r="L699" s="1476"/>
      <c r="M699" s="1477">
        <v>0</v>
      </c>
      <c r="N699" s="1478">
        <v>1.278533635829554</v>
      </c>
      <c r="O699" s="1478">
        <v>1.279905303116988</v>
      </c>
    </row>
    <row r="700" spans="11:15">
      <c r="K700" s="1475">
        <v>42757</v>
      </c>
      <c r="L700" s="1476"/>
      <c r="M700" s="1477">
        <v>0</v>
      </c>
      <c r="N700" s="1478">
        <v>1.278533635829554</v>
      </c>
      <c r="O700" s="1478">
        <v>1.279905303116988</v>
      </c>
    </row>
    <row r="701" spans="11:15">
      <c r="K701" s="1475">
        <v>42758</v>
      </c>
      <c r="L701" s="1476" t="s">
        <v>2127</v>
      </c>
      <c r="M701" s="1477">
        <v>4.8159E-2</v>
      </c>
      <c r="N701" s="1478">
        <v>1.279149364843233</v>
      </c>
      <c r="O701" s="1478">
        <v>1.2805776501717685</v>
      </c>
    </row>
    <row r="702" spans="11:15">
      <c r="K702" s="1475">
        <v>42759</v>
      </c>
      <c r="L702" s="1476" t="s">
        <v>2127</v>
      </c>
      <c r="M702" s="1477">
        <v>4.8159E-2</v>
      </c>
      <c r="N702" s="1478">
        <v>1.2797653903858479</v>
      </c>
      <c r="O702" s="1478">
        <v>1.2812503504171802</v>
      </c>
    </row>
    <row r="703" spans="11:15">
      <c r="K703" s="1475">
        <v>42760</v>
      </c>
      <c r="L703" s="1476" t="s">
        <v>2127</v>
      </c>
      <c r="M703" s="1477">
        <v>4.8159E-2</v>
      </c>
      <c r="N703" s="1478">
        <v>1.2803817126002037</v>
      </c>
      <c r="O703" s="1478">
        <v>1.2819234040387577</v>
      </c>
    </row>
    <row r="704" spans="11:15">
      <c r="K704" s="1475">
        <v>42761</v>
      </c>
      <c r="L704" s="1476" t="s">
        <v>2127</v>
      </c>
      <c r="M704" s="1477">
        <v>4.8159E-2</v>
      </c>
      <c r="N704" s="1478">
        <v>1.2809983316291746</v>
      </c>
      <c r="O704" s="1478">
        <v>1.2825968112221333</v>
      </c>
    </row>
    <row r="705" spans="11:15">
      <c r="K705" s="1475">
        <v>42762</v>
      </c>
      <c r="L705" s="1476" t="s">
        <v>2127</v>
      </c>
      <c r="M705" s="1477">
        <v>4.8159E-2</v>
      </c>
      <c r="N705" s="1478">
        <v>1.2816152476157039</v>
      </c>
      <c r="O705" s="1478">
        <v>1.2832705721530364</v>
      </c>
    </row>
    <row r="706" spans="11:15">
      <c r="K706" s="1475">
        <v>42763</v>
      </c>
      <c r="L706" s="1476"/>
      <c r="M706" s="1477">
        <v>0</v>
      </c>
      <c r="N706" s="1478">
        <v>1.2816152476157039</v>
      </c>
      <c r="O706" s="1478">
        <v>1.2832705721530364</v>
      </c>
    </row>
    <row r="707" spans="11:15">
      <c r="K707" s="1475">
        <v>42764</v>
      </c>
      <c r="L707" s="1476"/>
      <c r="M707" s="1477">
        <v>0</v>
      </c>
      <c r="N707" s="1478">
        <v>1.2816152476157039</v>
      </c>
      <c r="O707" s="1478">
        <v>1.2832705721530364</v>
      </c>
    </row>
    <row r="708" spans="11:15">
      <c r="K708" s="1475">
        <v>42765</v>
      </c>
      <c r="L708" s="1476" t="s">
        <v>2127</v>
      </c>
      <c r="M708" s="1477">
        <v>4.8159E-2</v>
      </c>
      <c r="N708" s="1478">
        <v>1.2822324607028031</v>
      </c>
      <c r="O708" s="1478">
        <v>1.2839446870172941</v>
      </c>
    </row>
    <row r="709" spans="11:15">
      <c r="K709" s="1475">
        <v>42766</v>
      </c>
      <c r="L709" s="1476" t="s">
        <v>2127</v>
      </c>
      <c r="M709" s="1477">
        <v>4.8159E-2</v>
      </c>
      <c r="N709" s="1478">
        <v>1.2828499710335528</v>
      </c>
      <c r="O709" s="1478">
        <v>1.2846191560008311</v>
      </c>
    </row>
    <row r="710" spans="11:15">
      <c r="K710" s="1475">
        <v>42767</v>
      </c>
      <c r="L710" s="1476" t="s">
        <v>2127</v>
      </c>
      <c r="M710" s="1477">
        <v>4.8159E-2</v>
      </c>
      <c r="N710" s="1478">
        <v>1.2834677787511029</v>
      </c>
      <c r="O710" s="1478">
        <v>1.2852939792896698</v>
      </c>
    </row>
    <row r="711" spans="11:15">
      <c r="K711" s="1475">
        <v>42768</v>
      </c>
      <c r="L711" s="1476" t="s">
        <v>2127</v>
      </c>
      <c r="M711" s="1477">
        <v>4.8159E-2</v>
      </c>
      <c r="N711" s="1478">
        <v>1.2840858839986715</v>
      </c>
      <c r="O711" s="1478">
        <v>1.2859691570699305</v>
      </c>
    </row>
    <row r="712" spans="11:15">
      <c r="K712" s="1475">
        <v>42769</v>
      </c>
      <c r="L712" s="1476" t="s">
        <v>2127</v>
      </c>
      <c r="M712" s="1477">
        <v>4.8159E-2</v>
      </c>
      <c r="N712" s="1478">
        <v>1.2847042869195464</v>
      </c>
      <c r="O712" s="1478">
        <v>1.286644689527831</v>
      </c>
    </row>
    <row r="713" spans="11:15">
      <c r="K713" s="1475">
        <v>42770</v>
      </c>
      <c r="L713" s="1476"/>
      <c r="M713" s="1477">
        <v>0</v>
      </c>
      <c r="N713" s="1478">
        <v>1.2847042869195464</v>
      </c>
      <c r="O713" s="1478">
        <v>1.286644689527831</v>
      </c>
    </row>
    <row r="714" spans="11:15">
      <c r="K714" s="1475">
        <v>42771</v>
      </c>
      <c r="L714" s="1476"/>
      <c r="M714" s="1477">
        <v>0</v>
      </c>
      <c r="N714" s="1478">
        <v>1.2847042869195464</v>
      </c>
      <c r="O714" s="1478">
        <v>1.286644689527831</v>
      </c>
    </row>
    <row r="715" spans="11:15">
      <c r="K715" s="1475">
        <v>42772</v>
      </c>
      <c r="L715" s="1476" t="s">
        <v>2127</v>
      </c>
      <c r="M715" s="1477">
        <v>4.8159E-2</v>
      </c>
      <c r="N715" s="1478">
        <v>1.285322987657084</v>
      </c>
      <c r="O715" s="1478">
        <v>1.2873205768496869</v>
      </c>
    </row>
    <row r="716" spans="11:15">
      <c r="K716" s="1475">
        <v>42773</v>
      </c>
      <c r="L716" s="1476" t="s">
        <v>2127</v>
      </c>
      <c r="M716" s="1477">
        <v>4.8159E-2</v>
      </c>
      <c r="N716" s="1478">
        <v>1.2859419863547097</v>
      </c>
      <c r="O716" s="1478">
        <v>1.2879968192219118</v>
      </c>
    </row>
    <row r="717" spans="11:15">
      <c r="K717" s="1475">
        <v>42774</v>
      </c>
      <c r="L717" s="1476" t="s">
        <v>2127</v>
      </c>
      <c r="M717" s="1477">
        <v>4.8159E-2</v>
      </c>
      <c r="N717" s="1478">
        <v>1.2865612831559181</v>
      </c>
      <c r="O717" s="1478">
        <v>1.2886734168310172</v>
      </c>
    </row>
    <row r="718" spans="11:15">
      <c r="K718" s="1475">
        <v>42775</v>
      </c>
      <c r="L718" s="1476" t="s">
        <v>2127</v>
      </c>
      <c r="M718" s="1477">
        <v>4.8159E-2</v>
      </c>
      <c r="N718" s="1478">
        <v>1.2871808782042731</v>
      </c>
      <c r="O718" s="1478">
        <v>1.2893503698636126</v>
      </c>
    </row>
    <row r="719" spans="11:15">
      <c r="K719" s="1475">
        <v>42776</v>
      </c>
      <c r="L719" s="1476" t="s">
        <v>2127</v>
      </c>
      <c r="M719" s="1477">
        <v>4.8159E-2</v>
      </c>
      <c r="N719" s="1478">
        <v>1.2878007716434074</v>
      </c>
      <c r="O719" s="1478">
        <v>1.2900276785064058</v>
      </c>
    </row>
    <row r="720" spans="11:15">
      <c r="K720" s="1475">
        <v>42777</v>
      </c>
      <c r="L720" s="1476"/>
      <c r="M720" s="1477">
        <v>0</v>
      </c>
      <c r="N720" s="1478">
        <v>1.2878007716434074</v>
      </c>
      <c r="O720" s="1478">
        <v>1.2900276785064058</v>
      </c>
    </row>
    <row r="721" spans="11:15">
      <c r="K721" s="1475">
        <v>42778</v>
      </c>
      <c r="L721" s="1476"/>
      <c r="M721" s="1477">
        <v>0</v>
      </c>
      <c r="N721" s="1478">
        <v>1.2878007716434074</v>
      </c>
      <c r="O721" s="1478">
        <v>1.2900276785064058</v>
      </c>
    </row>
    <row r="722" spans="11:15">
      <c r="K722" s="1475">
        <v>42779</v>
      </c>
      <c r="L722" s="1476" t="s">
        <v>2127</v>
      </c>
      <c r="M722" s="1477">
        <v>4.8159E-2</v>
      </c>
      <c r="N722" s="1478">
        <v>1.2884209636170232</v>
      </c>
      <c r="O722" s="1478">
        <v>1.2907053429462019</v>
      </c>
    </row>
    <row r="723" spans="11:15">
      <c r="K723" s="1475">
        <v>42780</v>
      </c>
      <c r="L723" s="1476" t="s">
        <v>2127</v>
      </c>
      <c r="M723" s="1477">
        <v>4.8159E-2</v>
      </c>
      <c r="N723" s="1478">
        <v>1.2890414542688915</v>
      </c>
      <c r="O723" s="1478">
        <v>1.291383363369905</v>
      </c>
    </row>
    <row r="724" spans="11:15">
      <c r="K724" s="1475">
        <v>42781</v>
      </c>
      <c r="L724" s="1476" t="s">
        <v>2127</v>
      </c>
      <c r="M724" s="1477">
        <v>4.8159E-2</v>
      </c>
      <c r="N724" s="1478">
        <v>1.2896622437428527</v>
      </c>
      <c r="O724" s="1478">
        <v>1.2920617399645169</v>
      </c>
    </row>
    <row r="725" spans="11:15">
      <c r="K725" s="1475">
        <v>42782</v>
      </c>
      <c r="L725" s="1476" t="s">
        <v>2127</v>
      </c>
      <c r="M725" s="1477">
        <v>4.8159E-2</v>
      </c>
      <c r="N725" s="1478">
        <v>1.2902833321828167</v>
      </c>
      <c r="O725" s="1478">
        <v>1.2927404729171377</v>
      </c>
    </row>
    <row r="726" spans="11:15">
      <c r="K726" s="1475">
        <v>42783</v>
      </c>
      <c r="L726" s="1476" t="s">
        <v>2127</v>
      </c>
      <c r="M726" s="1477">
        <v>4.8159E-2</v>
      </c>
      <c r="N726" s="1478">
        <v>1.2909047197327626</v>
      </c>
      <c r="O726" s="1478">
        <v>1.2934195624149658</v>
      </c>
    </row>
    <row r="727" spans="11:15">
      <c r="K727" s="1475">
        <v>42784</v>
      </c>
      <c r="L727" s="1476"/>
      <c r="M727" s="1477">
        <v>0</v>
      </c>
      <c r="N727" s="1478">
        <v>1.2909047197327626</v>
      </c>
      <c r="O727" s="1478">
        <v>1.2934195624149658</v>
      </c>
    </row>
    <row r="728" spans="11:15">
      <c r="K728" s="1475">
        <v>42785</v>
      </c>
      <c r="L728" s="1476"/>
      <c r="M728" s="1477">
        <v>0</v>
      </c>
      <c r="N728" s="1478">
        <v>1.2909047197327626</v>
      </c>
      <c r="O728" s="1478">
        <v>1.2934195624149658</v>
      </c>
    </row>
    <row r="729" spans="11:15">
      <c r="K729" s="1475">
        <v>42786</v>
      </c>
      <c r="L729" s="1476" t="s">
        <v>2127</v>
      </c>
      <c r="M729" s="1477">
        <v>4.8159E-2</v>
      </c>
      <c r="N729" s="1478">
        <v>1.2915264065367384</v>
      </c>
      <c r="O729" s="1478">
        <v>1.2940990086452979</v>
      </c>
    </row>
    <row r="730" spans="11:15">
      <c r="K730" s="1475">
        <v>42787</v>
      </c>
      <c r="L730" s="1476" t="s">
        <v>2127</v>
      </c>
      <c r="M730" s="1477">
        <v>4.8159E-2</v>
      </c>
      <c r="N730" s="1478">
        <v>1.2921483927388624</v>
      </c>
      <c r="O730" s="1478">
        <v>1.2947788117955294</v>
      </c>
    </row>
    <row r="731" spans="11:15">
      <c r="K731" s="1475">
        <v>42788</v>
      </c>
      <c r="L731" s="1476" t="s">
        <v>2127</v>
      </c>
      <c r="M731" s="1477">
        <v>4.8159E-2</v>
      </c>
      <c r="N731" s="1478">
        <v>1.2927706784833215</v>
      </c>
      <c r="O731" s="1478">
        <v>1.2954589720531537</v>
      </c>
    </row>
    <row r="732" spans="11:15">
      <c r="K732" s="1475">
        <v>42789</v>
      </c>
      <c r="L732" s="1476" t="s">
        <v>2127</v>
      </c>
      <c r="M732" s="1477">
        <v>4.5512999999999998E-2</v>
      </c>
      <c r="N732" s="1478">
        <v>1.2933590572022196</v>
      </c>
      <c r="O732" s="1478">
        <v>1.296139489605763</v>
      </c>
    </row>
    <row r="733" spans="11:15">
      <c r="K733" s="1475">
        <v>42790</v>
      </c>
      <c r="L733" s="1476" t="s">
        <v>2127</v>
      </c>
      <c r="M733" s="1477">
        <v>4.5512999999999998E-2</v>
      </c>
      <c r="N733" s="1478">
        <v>1.2939477037099241</v>
      </c>
      <c r="O733" s="1478">
        <v>1.2968203646410479</v>
      </c>
    </row>
    <row r="734" spans="11:15">
      <c r="K734" s="1475">
        <v>42791</v>
      </c>
      <c r="L734" s="1476"/>
      <c r="M734" s="1477">
        <v>0</v>
      </c>
      <c r="N734" s="1478">
        <v>1.2939477037099241</v>
      </c>
      <c r="O734" s="1478">
        <v>1.2968203646410479</v>
      </c>
    </row>
    <row r="735" spans="11:15">
      <c r="K735" s="1475">
        <v>42792</v>
      </c>
      <c r="L735" s="1476"/>
      <c r="M735" s="1477">
        <v>0</v>
      </c>
      <c r="N735" s="1478">
        <v>1.2939477037099241</v>
      </c>
      <c r="O735" s="1478">
        <v>1.2968203646410479</v>
      </c>
    </row>
    <row r="736" spans="11:15">
      <c r="K736" s="1475">
        <v>42793</v>
      </c>
      <c r="L736" s="1476"/>
      <c r="M736" s="1477">
        <v>0</v>
      </c>
      <c r="N736" s="1478">
        <v>1.2939477037099241</v>
      </c>
      <c r="O736" s="1478">
        <v>1.2968203646410479</v>
      </c>
    </row>
    <row r="737" spans="11:15">
      <c r="K737" s="1475">
        <v>42794</v>
      </c>
      <c r="L737" s="1476"/>
      <c r="M737" s="1477">
        <v>0</v>
      </c>
      <c r="N737" s="1478">
        <v>1.2939477037099241</v>
      </c>
      <c r="O737" s="1478">
        <v>1.2968203646410479</v>
      </c>
    </row>
    <row r="738" spans="11:15">
      <c r="K738" s="1475">
        <v>42795</v>
      </c>
      <c r="L738" s="1476" t="s">
        <v>2127</v>
      </c>
      <c r="M738" s="1477">
        <v>4.5512999999999998E-2</v>
      </c>
      <c r="N738" s="1478">
        <v>1.2945366181283136</v>
      </c>
      <c r="O738" s="1478">
        <v>1.2975015973467974</v>
      </c>
    </row>
    <row r="739" spans="11:15">
      <c r="K739" s="1475">
        <v>42796</v>
      </c>
      <c r="L739" s="1476" t="s">
        <v>2127</v>
      </c>
      <c r="M739" s="1477">
        <v>4.5512999999999998E-2</v>
      </c>
      <c r="N739" s="1478">
        <v>1.2951258005793223</v>
      </c>
      <c r="O739" s="1478">
        <v>1.2981831879108996</v>
      </c>
    </row>
    <row r="740" spans="11:15">
      <c r="K740" s="1475">
        <v>42797</v>
      </c>
      <c r="L740" s="1476" t="s">
        <v>2127</v>
      </c>
      <c r="M740" s="1477">
        <v>4.5512999999999998E-2</v>
      </c>
      <c r="N740" s="1478">
        <v>1.2957152511849399</v>
      </c>
      <c r="O740" s="1478">
        <v>1.2988651365213411</v>
      </c>
    </row>
    <row r="741" spans="11:15">
      <c r="K741" s="1475">
        <v>42798</v>
      </c>
      <c r="L741" s="1476"/>
      <c r="M741" s="1477">
        <v>0</v>
      </c>
      <c r="N741" s="1478">
        <v>1.2957152511849399</v>
      </c>
      <c r="O741" s="1478">
        <v>1.2988651365213411</v>
      </c>
    </row>
    <row r="742" spans="11:15">
      <c r="K742" s="1475">
        <v>42799</v>
      </c>
      <c r="L742" s="1476"/>
      <c r="M742" s="1477">
        <v>0</v>
      </c>
      <c r="N742" s="1478">
        <v>1.2957152511849399</v>
      </c>
      <c r="O742" s="1478">
        <v>1.2988651365213411</v>
      </c>
    </row>
    <row r="743" spans="11:15">
      <c r="K743" s="1475">
        <v>42800</v>
      </c>
      <c r="L743" s="1476" t="s">
        <v>2127</v>
      </c>
      <c r="M743" s="1477">
        <v>4.5512999999999998E-2</v>
      </c>
      <c r="N743" s="1478">
        <v>1.2963049700672116</v>
      </c>
      <c r="O743" s="1478">
        <v>1.2995474433662071</v>
      </c>
    </row>
    <row r="744" spans="11:15">
      <c r="K744" s="1475">
        <v>42801</v>
      </c>
      <c r="L744" s="1476" t="s">
        <v>2127</v>
      </c>
      <c r="M744" s="1477">
        <v>4.5512999999999998E-2</v>
      </c>
      <c r="N744" s="1478">
        <v>1.2968949573482382</v>
      </c>
      <c r="O744" s="1478">
        <v>1.3002301086336818</v>
      </c>
    </row>
    <row r="745" spans="11:15">
      <c r="K745" s="1475">
        <v>42802</v>
      </c>
      <c r="L745" s="1476" t="s">
        <v>2127</v>
      </c>
      <c r="M745" s="1477">
        <v>4.5512999999999998E-2</v>
      </c>
      <c r="N745" s="1478">
        <v>1.2974852131501762</v>
      </c>
      <c r="O745" s="1478">
        <v>1.3009131325120482</v>
      </c>
    </row>
    <row r="746" spans="11:15">
      <c r="K746" s="1475">
        <v>42803</v>
      </c>
      <c r="L746" s="1476" t="s">
        <v>2127</v>
      </c>
      <c r="M746" s="1477">
        <v>4.5512999999999998E-2</v>
      </c>
      <c r="N746" s="1478">
        <v>1.2980757375952372</v>
      </c>
      <c r="O746" s="1478">
        <v>1.3015965151896882</v>
      </c>
    </row>
    <row r="747" spans="11:15">
      <c r="K747" s="1475">
        <v>42804</v>
      </c>
      <c r="L747" s="1476" t="s">
        <v>2127</v>
      </c>
      <c r="M747" s="1477">
        <v>4.5512999999999998E-2</v>
      </c>
      <c r="N747" s="1478">
        <v>1.2986665308056888</v>
      </c>
      <c r="O747" s="1478">
        <v>1.3022802568550824</v>
      </c>
    </row>
    <row r="748" spans="11:15">
      <c r="K748" s="1475">
        <v>42805</v>
      </c>
      <c r="L748" s="1476"/>
      <c r="M748" s="1477">
        <v>0</v>
      </c>
      <c r="N748" s="1478">
        <v>1.2986665308056888</v>
      </c>
      <c r="O748" s="1478">
        <v>1.3022802568550824</v>
      </c>
    </row>
    <row r="749" spans="11:15">
      <c r="K749" s="1475">
        <v>42806</v>
      </c>
      <c r="L749" s="1476"/>
      <c r="M749" s="1477">
        <v>0</v>
      </c>
      <c r="N749" s="1478">
        <v>1.2986665308056888</v>
      </c>
      <c r="O749" s="1478">
        <v>1.3022802568550824</v>
      </c>
    </row>
    <row r="750" spans="11:15">
      <c r="K750" s="1475">
        <v>42807</v>
      </c>
      <c r="L750" s="1476" t="s">
        <v>2127</v>
      </c>
      <c r="M750" s="1477">
        <v>4.5512999999999998E-2</v>
      </c>
      <c r="N750" s="1478">
        <v>1.2992575929038543</v>
      </c>
      <c r="O750" s="1478">
        <v>1.3029643576968111</v>
      </c>
    </row>
    <row r="751" spans="11:15">
      <c r="K751" s="1475">
        <v>42808</v>
      </c>
      <c r="L751" s="1476" t="s">
        <v>2127</v>
      </c>
      <c r="M751" s="1477">
        <v>4.5512999999999998E-2</v>
      </c>
      <c r="N751" s="1478">
        <v>1.2998489240121127</v>
      </c>
      <c r="O751" s="1478">
        <v>1.3036488179035528</v>
      </c>
    </row>
    <row r="752" spans="11:15">
      <c r="K752" s="1475">
        <v>42809</v>
      </c>
      <c r="L752" s="1476" t="s">
        <v>2127</v>
      </c>
      <c r="M752" s="1477">
        <v>4.5512999999999998E-2</v>
      </c>
      <c r="N752" s="1478">
        <v>1.3004405242528982</v>
      </c>
      <c r="O752" s="1478">
        <v>1.3043336376640857</v>
      </c>
    </row>
    <row r="753" spans="11:15">
      <c r="K753" s="1475">
        <v>42810</v>
      </c>
      <c r="L753" s="1476" t="s">
        <v>2127</v>
      </c>
      <c r="M753" s="1477">
        <v>4.5512999999999998E-2</v>
      </c>
      <c r="N753" s="1478">
        <v>1.3010323937487014</v>
      </c>
      <c r="O753" s="1478">
        <v>1.305018817167287</v>
      </c>
    </row>
    <row r="754" spans="11:15">
      <c r="K754" s="1475">
        <v>42811</v>
      </c>
      <c r="L754" s="1476" t="s">
        <v>2127</v>
      </c>
      <c r="M754" s="1477">
        <v>4.5512999999999998E-2</v>
      </c>
      <c r="N754" s="1478">
        <v>1.3016245326220681</v>
      </c>
      <c r="O754" s="1478">
        <v>1.3057043566021331</v>
      </c>
    </row>
    <row r="755" spans="11:15">
      <c r="K755" s="1475">
        <v>42812</v>
      </c>
      <c r="L755" s="1476"/>
      <c r="M755" s="1477">
        <v>0</v>
      </c>
      <c r="N755" s="1478">
        <v>1.3016245326220681</v>
      </c>
      <c r="O755" s="1478">
        <v>1.3057043566021331</v>
      </c>
    </row>
    <row r="756" spans="11:15">
      <c r="K756" s="1475">
        <v>42813</v>
      </c>
      <c r="L756" s="1476"/>
      <c r="M756" s="1477">
        <v>0</v>
      </c>
      <c r="N756" s="1478">
        <v>1.3016245326220681</v>
      </c>
      <c r="O756" s="1478">
        <v>1.3057043566021331</v>
      </c>
    </row>
    <row r="757" spans="11:15">
      <c r="K757" s="1475">
        <v>42814</v>
      </c>
      <c r="L757" s="1476" t="s">
        <v>2127</v>
      </c>
      <c r="M757" s="1477">
        <v>4.5512999999999998E-2</v>
      </c>
      <c r="N757" s="1478">
        <v>1.3022169409956004</v>
      </c>
      <c r="O757" s="1478">
        <v>1.3063902561576999</v>
      </c>
    </row>
    <row r="758" spans="11:15">
      <c r="K758" s="1475">
        <v>42815</v>
      </c>
      <c r="L758" s="1476" t="s">
        <v>2127</v>
      </c>
      <c r="M758" s="1477">
        <v>4.5512999999999998E-2</v>
      </c>
      <c r="N758" s="1478">
        <v>1.3028096189919556</v>
      </c>
      <c r="O758" s="1478">
        <v>1.3070765160231621</v>
      </c>
    </row>
    <row r="759" spans="11:15">
      <c r="K759" s="1475">
        <v>42816</v>
      </c>
      <c r="L759" s="1476" t="s">
        <v>2127</v>
      </c>
      <c r="M759" s="1477">
        <v>4.5512999999999998E-2</v>
      </c>
      <c r="N759" s="1478">
        <v>1.3034025667338474</v>
      </c>
      <c r="O759" s="1478">
        <v>1.3077631363877942</v>
      </c>
    </row>
    <row r="760" spans="11:15">
      <c r="K760" s="1475">
        <v>42817</v>
      </c>
      <c r="L760" s="1476" t="s">
        <v>2127</v>
      </c>
      <c r="M760" s="1477">
        <v>4.5512999999999998E-2</v>
      </c>
      <c r="N760" s="1478">
        <v>1.3039957843440448</v>
      </c>
      <c r="O760" s="1478">
        <v>1.30845011744097</v>
      </c>
    </row>
    <row r="761" spans="11:15">
      <c r="K761" s="1475">
        <v>42818</v>
      </c>
      <c r="L761" s="1476" t="s">
        <v>2127</v>
      </c>
      <c r="M761" s="1477">
        <v>4.5512999999999998E-2</v>
      </c>
      <c r="N761" s="1478">
        <v>1.3045892719453733</v>
      </c>
      <c r="O761" s="1478">
        <v>1.309137459372163</v>
      </c>
    </row>
    <row r="762" spans="11:15">
      <c r="K762" s="1475">
        <v>42819</v>
      </c>
      <c r="L762" s="1476"/>
      <c r="M762" s="1477">
        <v>0</v>
      </c>
      <c r="N762" s="1478">
        <v>1.3045892719453733</v>
      </c>
      <c r="O762" s="1478">
        <v>1.309137459372163</v>
      </c>
    </row>
    <row r="763" spans="11:15">
      <c r="K763" s="1475">
        <v>42820</v>
      </c>
      <c r="L763" s="1476"/>
      <c r="M763" s="1477">
        <v>0</v>
      </c>
      <c r="N763" s="1478">
        <v>1.3045892719453733</v>
      </c>
      <c r="O763" s="1478">
        <v>1.309137459372163</v>
      </c>
    </row>
    <row r="764" spans="11:15">
      <c r="K764" s="1475">
        <v>42821</v>
      </c>
      <c r="L764" s="1476" t="s">
        <v>2127</v>
      </c>
      <c r="M764" s="1477">
        <v>4.5512999999999998E-2</v>
      </c>
      <c r="N764" s="1478">
        <v>1.3051830296607139</v>
      </c>
      <c r="O764" s="1478">
        <v>1.3098251623709458</v>
      </c>
    </row>
    <row r="765" spans="11:15">
      <c r="K765" s="1475">
        <v>42822</v>
      </c>
      <c r="L765" s="1476" t="s">
        <v>2127</v>
      </c>
      <c r="M765" s="1477">
        <v>4.5512999999999998E-2</v>
      </c>
      <c r="N765" s="1478">
        <v>1.3057770576130032</v>
      </c>
      <c r="O765" s="1478">
        <v>1.310513226626991</v>
      </c>
    </row>
    <row r="766" spans="11:15">
      <c r="K766" s="1475">
        <v>42823</v>
      </c>
      <c r="L766" s="1476" t="s">
        <v>2127</v>
      </c>
      <c r="M766" s="1477">
        <v>4.5512999999999998E-2</v>
      </c>
      <c r="N766" s="1478">
        <v>1.3063713559252346</v>
      </c>
      <c r="O766" s="1478">
        <v>1.3112016523300705</v>
      </c>
    </row>
    <row r="767" spans="11:15">
      <c r="K767" s="1475">
        <v>42824</v>
      </c>
      <c r="L767" s="1476" t="s">
        <v>2127</v>
      </c>
      <c r="M767" s="1477">
        <v>4.5512999999999998E-2</v>
      </c>
      <c r="N767" s="1478">
        <v>1.3069659247204568</v>
      </c>
      <c r="O767" s="1478">
        <v>1.3118904396700559</v>
      </c>
    </row>
    <row r="768" spans="11:15">
      <c r="K768" s="1475">
        <v>42825</v>
      </c>
      <c r="L768" s="1476" t="s">
        <v>2127</v>
      </c>
      <c r="M768" s="1477">
        <v>4.5512999999999998E-2</v>
      </c>
      <c r="N768" s="1478">
        <v>1.3075607641217748</v>
      </c>
      <c r="O768" s="1478">
        <v>1.3125795888369189</v>
      </c>
    </row>
    <row r="769" spans="11:15">
      <c r="K769" s="1475">
        <v>42826</v>
      </c>
      <c r="L769" s="1476"/>
      <c r="M769" s="1477">
        <v>0</v>
      </c>
      <c r="N769" s="1478">
        <v>1.3075607641217748</v>
      </c>
      <c r="O769" s="1478">
        <v>1.3125795888369189</v>
      </c>
    </row>
    <row r="770" spans="11:15">
      <c r="K770" s="1475">
        <v>42827</v>
      </c>
      <c r="L770" s="1476"/>
      <c r="M770" s="1477">
        <v>0</v>
      </c>
      <c r="N770" s="1478">
        <v>1.3075607641217748</v>
      </c>
      <c r="O770" s="1478">
        <v>1.3125795888369189</v>
      </c>
    </row>
    <row r="771" spans="11:15">
      <c r="K771" s="1475">
        <v>42828</v>
      </c>
      <c r="L771" s="1476" t="s">
        <v>2127</v>
      </c>
      <c r="M771" s="1477">
        <v>4.5512999999999998E-2</v>
      </c>
      <c r="N771" s="1478">
        <v>1.3081558742523496</v>
      </c>
      <c r="O771" s="1478">
        <v>1.3132691000207308</v>
      </c>
    </row>
    <row r="772" spans="11:15">
      <c r="K772" s="1475">
        <v>42829</v>
      </c>
      <c r="L772" s="1476" t="s">
        <v>2127</v>
      </c>
      <c r="M772" s="1477">
        <v>4.5512999999999998E-2</v>
      </c>
      <c r="N772" s="1478">
        <v>1.3087512552353979</v>
      </c>
      <c r="O772" s="1478">
        <v>1.3139589734116628</v>
      </c>
    </row>
    <row r="773" spans="11:15">
      <c r="K773" s="1475">
        <v>42830</v>
      </c>
      <c r="L773" s="1476" t="s">
        <v>2127</v>
      </c>
      <c r="M773" s="1477">
        <v>4.5512999999999998E-2</v>
      </c>
      <c r="N773" s="1478">
        <v>1.3093469071941932</v>
      </c>
      <c r="O773" s="1478">
        <v>1.3146492091999857</v>
      </c>
    </row>
    <row r="774" spans="11:15">
      <c r="K774" s="1475">
        <v>42831</v>
      </c>
      <c r="L774" s="1476" t="s">
        <v>2127</v>
      </c>
      <c r="M774" s="1477">
        <v>4.5512999999999998E-2</v>
      </c>
      <c r="N774" s="1478">
        <v>1.3099428302520644</v>
      </c>
      <c r="O774" s="1478">
        <v>1.3153398075760705</v>
      </c>
    </row>
    <row r="775" spans="11:15">
      <c r="K775" s="1475">
        <v>42832</v>
      </c>
      <c r="L775" s="1476" t="s">
        <v>2127</v>
      </c>
      <c r="M775" s="1477">
        <v>4.5512999999999998E-2</v>
      </c>
      <c r="N775" s="1478">
        <v>1.3105390245323969</v>
      </c>
      <c r="O775" s="1478">
        <v>1.3160307687303883</v>
      </c>
    </row>
    <row r="776" spans="11:15">
      <c r="K776" s="1475">
        <v>42833</v>
      </c>
      <c r="L776" s="1476"/>
      <c r="M776" s="1477">
        <v>0</v>
      </c>
      <c r="N776" s="1478">
        <v>1.3105390245323969</v>
      </c>
      <c r="O776" s="1478">
        <v>1.3160307687303883</v>
      </c>
    </row>
    <row r="777" spans="11:15">
      <c r="K777" s="1475">
        <v>42834</v>
      </c>
      <c r="L777" s="1476"/>
      <c r="M777" s="1477">
        <v>0</v>
      </c>
      <c r="N777" s="1478">
        <v>1.3105390245323969</v>
      </c>
      <c r="O777" s="1478">
        <v>1.3160307687303883</v>
      </c>
    </row>
    <row r="778" spans="11:15">
      <c r="K778" s="1475">
        <v>42835</v>
      </c>
      <c r="L778" s="1476" t="s">
        <v>2127</v>
      </c>
      <c r="M778" s="1477">
        <v>4.5512999999999998E-2</v>
      </c>
      <c r="N778" s="1478">
        <v>1.3111354901586323</v>
      </c>
      <c r="O778" s="1478">
        <v>1.3167220928535099</v>
      </c>
    </row>
    <row r="779" spans="11:15">
      <c r="K779" s="1475">
        <v>42836</v>
      </c>
      <c r="L779" s="1476" t="s">
        <v>2127</v>
      </c>
      <c r="M779" s="1477">
        <v>4.5512999999999998E-2</v>
      </c>
      <c r="N779" s="1478">
        <v>1.3117322272542682</v>
      </c>
      <c r="O779" s="1478">
        <v>1.3174137801361068</v>
      </c>
    </row>
    <row r="780" spans="11:15">
      <c r="K780" s="1475">
        <v>42837</v>
      </c>
      <c r="L780" s="1476" t="s">
        <v>2127</v>
      </c>
      <c r="M780" s="1477">
        <v>4.5512999999999998E-2</v>
      </c>
      <c r="N780" s="1478">
        <v>1.3123292359428584</v>
      </c>
      <c r="O780" s="1478">
        <v>1.3181058307689502</v>
      </c>
    </row>
    <row r="781" spans="11:15">
      <c r="K781" s="1475">
        <v>42838</v>
      </c>
      <c r="L781" s="1476" t="s">
        <v>2127</v>
      </c>
      <c r="M781" s="1477">
        <v>4.1957000000000001E-2</v>
      </c>
      <c r="N781" s="1478">
        <v>1.3128798499203831</v>
      </c>
      <c r="O781" s="1478">
        <v>1.3187982449429114</v>
      </c>
    </row>
    <row r="782" spans="11:15">
      <c r="K782" s="1475">
        <v>42839</v>
      </c>
      <c r="L782" s="1476"/>
      <c r="M782" s="1477">
        <v>0</v>
      </c>
      <c r="N782" s="1478">
        <v>1.3128798499203831</v>
      </c>
      <c r="O782" s="1478">
        <v>1.3187982449429114</v>
      </c>
    </row>
    <row r="783" spans="11:15">
      <c r="K783" s="1475">
        <v>42840</v>
      </c>
      <c r="L783" s="1476"/>
      <c r="M783" s="1477">
        <v>0</v>
      </c>
      <c r="N783" s="1478">
        <v>1.3128798499203831</v>
      </c>
      <c r="O783" s="1478">
        <v>1.3187982449429114</v>
      </c>
    </row>
    <row r="784" spans="11:15">
      <c r="K784" s="1475">
        <v>42841</v>
      </c>
      <c r="L784" s="1476"/>
      <c r="M784" s="1477">
        <v>0</v>
      </c>
      <c r="N784" s="1478">
        <v>1.3128798499203831</v>
      </c>
      <c r="O784" s="1478">
        <v>1.3187982449429114</v>
      </c>
    </row>
    <row r="785" spans="11:15">
      <c r="K785" s="1475">
        <v>42842</v>
      </c>
      <c r="L785" s="1476" t="s">
        <v>2127</v>
      </c>
      <c r="M785" s="1477">
        <v>4.1957000000000001E-2</v>
      </c>
      <c r="N785" s="1478">
        <v>1.3134306949190142</v>
      </c>
      <c r="O785" s="1478">
        <v>1.3194910228489625</v>
      </c>
    </row>
    <row r="786" spans="11:15">
      <c r="K786" s="1475">
        <v>42843</v>
      </c>
      <c r="L786" s="1476" t="s">
        <v>2127</v>
      </c>
      <c r="M786" s="1477">
        <v>4.1957000000000001E-2</v>
      </c>
      <c r="N786" s="1478">
        <v>1.3139817710356814</v>
      </c>
      <c r="O786" s="1478">
        <v>1.3201841646781753</v>
      </c>
    </row>
    <row r="787" spans="11:15">
      <c r="K787" s="1475">
        <v>42844</v>
      </c>
      <c r="L787" s="1476" t="s">
        <v>2127</v>
      </c>
      <c r="M787" s="1477">
        <v>4.1957000000000001E-2</v>
      </c>
      <c r="N787" s="1478">
        <v>1.3145330783673548</v>
      </c>
      <c r="O787" s="1478">
        <v>1.3208776706217225</v>
      </c>
    </row>
    <row r="788" spans="11:15">
      <c r="K788" s="1475">
        <v>42845</v>
      </c>
      <c r="L788" s="1476" t="s">
        <v>2127</v>
      </c>
      <c r="M788" s="1477">
        <v>4.1957000000000001E-2</v>
      </c>
      <c r="N788" s="1478">
        <v>1.3150846170110455</v>
      </c>
      <c r="O788" s="1478">
        <v>1.3215715408708768</v>
      </c>
    </row>
    <row r="789" spans="11:15">
      <c r="K789" s="1475">
        <v>42846</v>
      </c>
      <c r="L789" s="1476"/>
      <c r="M789" s="1477">
        <v>0</v>
      </c>
      <c r="N789" s="1478">
        <v>1.3150846170110455</v>
      </c>
      <c r="O789" s="1478">
        <v>1.3215715408708768</v>
      </c>
    </row>
    <row r="790" spans="11:15">
      <c r="K790" s="1475">
        <v>42847</v>
      </c>
      <c r="L790" s="1476"/>
      <c r="M790" s="1477">
        <v>0</v>
      </c>
      <c r="N790" s="1478">
        <v>1.3150846170110455</v>
      </c>
      <c r="O790" s="1478">
        <v>1.3215715408708768</v>
      </c>
    </row>
    <row r="791" spans="11:15">
      <c r="K791" s="1475">
        <v>42848</v>
      </c>
      <c r="L791" s="1476"/>
      <c r="M791" s="1477">
        <v>0</v>
      </c>
      <c r="N791" s="1478">
        <v>1.3150846170110455</v>
      </c>
      <c r="O791" s="1478">
        <v>1.3215715408708768</v>
      </c>
    </row>
    <row r="792" spans="11:15">
      <c r="K792" s="1475">
        <v>42849</v>
      </c>
      <c r="L792" s="1476" t="s">
        <v>2127</v>
      </c>
      <c r="M792" s="1477">
        <v>4.1957000000000001E-2</v>
      </c>
      <c r="N792" s="1478">
        <v>1.3156363870638048</v>
      </c>
      <c r="O792" s="1478">
        <v>1.3222657756170118</v>
      </c>
    </row>
    <row r="793" spans="11:15">
      <c r="K793" s="1475">
        <v>42850</v>
      </c>
      <c r="L793" s="1476" t="s">
        <v>2127</v>
      </c>
      <c r="M793" s="1477">
        <v>4.1957000000000001E-2</v>
      </c>
      <c r="N793" s="1478">
        <v>1.3161883886227252</v>
      </c>
      <c r="O793" s="1478">
        <v>1.322960375051601</v>
      </c>
    </row>
    <row r="794" spans="11:15">
      <c r="K794" s="1475">
        <v>42851</v>
      </c>
      <c r="L794" s="1476" t="s">
        <v>2127</v>
      </c>
      <c r="M794" s="1477">
        <v>4.1957000000000001E-2</v>
      </c>
      <c r="N794" s="1478">
        <v>1.3167406217849398</v>
      </c>
      <c r="O794" s="1478">
        <v>1.3236553393662194</v>
      </c>
    </row>
    <row r="795" spans="11:15">
      <c r="K795" s="1475">
        <v>42852</v>
      </c>
      <c r="L795" s="1476" t="s">
        <v>2127</v>
      </c>
      <c r="M795" s="1477">
        <v>4.1957000000000001E-2</v>
      </c>
      <c r="N795" s="1478">
        <v>1.3172930866476222</v>
      </c>
      <c r="O795" s="1478">
        <v>1.3243506687525419</v>
      </c>
    </row>
    <row r="796" spans="11:15">
      <c r="K796" s="1475">
        <v>42853</v>
      </c>
      <c r="L796" s="1476" t="s">
        <v>2127</v>
      </c>
      <c r="M796" s="1477">
        <v>4.1957000000000001E-2</v>
      </c>
      <c r="N796" s="1478">
        <v>1.3178457833079871</v>
      </c>
      <c r="O796" s="1478">
        <v>1.3250463634023444</v>
      </c>
    </row>
    <row r="797" spans="11:15">
      <c r="K797" s="1475">
        <v>42854</v>
      </c>
      <c r="L797" s="1476"/>
      <c r="M797" s="1477">
        <v>0</v>
      </c>
      <c r="N797" s="1478">
        <v>1.3178457833079871</v>
      </c>
      <c r="O797" s="1478">
        <v>1.3250463634023444</v>
      </c>
    </row>
    <row r="798" spans="11:15">
      <c r="K798" s="1475">
        <v>42855</v>
      </c>
      <c r="L798" s="1476"/>
      <c r="M798" s="1477">
        <v>0</v>
      </c>
      <c r="N798" s="1478">
        <v>1.3178457833079871</v>
      </c>
      <c r="O798" s="1478">
        <v>1.3250463634023444</v>
      </c>
    </row>
    <row r="799" spans="11:15">
      <c r="K799" s="1475">
        <v>42856</v>
      </c>
      <c r="L799" s="1476"/>
      <c r="M799" s="1477">
        <v>0</v>
      </c>
      <c r="N799" s="1478">
        <v>1.3178457833079871</v>
      </c>
      <c r="O799" s="1478">
        <v>1.3250463634023444</v>
      </c>
    </row>
    <row r="800" spans="11:15">
      <c r="K800" s="1475">
        <v>42857</v>
      </c>
      <c r="L800" s="1476" t="s">
        <v>2127</v>
      </c>
      <c r="M800" s="1477">
        <v>4.1957000000000001E-2</v>
      </c>
      <c r="N800" s="1478">
        <v>1.3183987118632896</v>
      </c>
      <c r="O800" s="1478">
        <v>1.3257424235075033</v>
      </c>
    </row>
    <row r="801" spans="11:15">
      <c r="K801" s="1475">
        <v>42858</v>
      </c>
      <c r="L801" s="1476" t="s">
        <v>2127</v>
      </c>
      <c r="M801" s="1477">
        <v>4.1957000000000001E-2</v>
      </c>
      <c r="N801" s="1478">
        <v>1.3189518724108262</v>
      </c>
      <c r="O801" s="1478">
        <v>1.3264388492599959</v>
      </c>
    </row>
    <row r="802" spans="11:15">
      <c r="K802" s="1475">
        <v>42859</v>
      </c>
      <c r="L802" s="1476" t="s">
        <v>2127</v>
      </c>
      <c r="M802" s="1477">
        <v>4.1957000000000001E-2</v>
      </c>
      <c r="N802" s="1478">
        <v>1.3195052650479338</v>
      </c>
      <c r="O802" s="1478">
        <v>1.3271356408519006</v>
      </c>
    </row>
    <row r="803" spans="11:15">
      <c r="K803" s="1475">
        <v>42860</v>
      </c>
      <c r="L803" s="1476" t="s">
        <v>2127</v>
      </c>
      <c r="M803" s="1477">
        <v>4.1957000000000001E-2</v>
      </c>
      <c r="N803" s="1478">
        <v>1.32005888987199</v>
      </c>
      <c r="O803" s="1478">
        <v>1.3278327984753966</v>
      </c>
    </row>
    <row r="804" spans="11:15">
      <c r="K804" s="1475">
        <v>42861</v>
      </c>
      <c r="L804" s="1476"/>
      <c r="M804" s="1477">
        <v>0</v>
      </c>
      <c r="N804" s="1478">
        <v>1.32005888987199</v>
      </c>
      <c r="O804" s="1478">
        <v>1.3278327984753966</v>
      </c>
    </row>
    <row r="805" spans="11:15">
      <c r="K805" s="1475">
        <v>42862</v>
      </c>
      <c r="L805" s="1476"/>
      <c r="M805" s="1477">
        <v>0</v>
      </c>
      <c r="N805" s="1478">
        <v>1.32005888987199</v>
      </c>
      <c r="O805" s="1478">
        <v>1.3278327984753966</v>
      </c>
    </row>
    <row r="806" spans="11:15">
      <c r="K806" s="1475">
        <v>42863</v>
      </c>
      <c r="L806" s="1476" t="s">
        <v>2127</v>
      </c>
      <c r="M806" s="1477">
        <v>4.1957000000000001E-2</v>
      </c>
      <c r="N806" s="1478">
        <v>1.3206127469804136</v>
      </c>
      <c r="O806" s="1478">
        <v>1.3285303223227638</v>
      </c>
    </row>
    <row r="807" spans="11:15">
      <c r="K807" s="1475">
        <v>42864</v>
      </c>
      <c r="L807" s="1476" t="s">
        <v>2127</v>
      </c>
      <c r="M807" s="1477">
        <v>4.1957000000000001E-2</v>
      </c>
      <c r="N807" s="1478">
        <v>1.3211668364706644</v>
      </c>
      <c r="O807" s="1478">
        <v>1.3292282125863832</v>
      </c>
    </row>
    <row r="808" spans="11:15">
      <c r="K808" s="1475">
        <v>42865</v>
      </c>
      <c r="L808" s="1476" t="s">
        <v>2127</v>
      </c>
      <c r="M808" s="1477">
        <v>4.1957000000000001E-2</v>
      </c>
      <c r="N808" s="1478">
        <v>1.3217211584402424</v>
      </c>
      <c r="O808" s="1478">
        <v>1.3299264694587369</v>
      </c>
    </row>
    <row r="809" spans="11:15">
      <c r="K809" s="1475">
        <v>42866</v>
      </c>
      <c r="L809" s="1476" t="s">
        <v>2127</v>
      </c>
      <c r="M809" s="1477">
        <v>4.1957000000000001E-2</v>
      </c>
      <c r="N809" s="1478">
        <v>1.3222757129866893</v>
      </c>
      <c r="O809" s="1478">
        <v>1.3306250931324084</v>
      </c>
    </row>
    <row r="810" spans="11:15">
      <c r="K810" s="1475">
        <v>42867</v>
      </c>
      <c r="L810" s="1476" t="s">
        <v>2127</v>
      </c>
      <c r="M810" s="1477">
        <v>4.1957000000000001E-2</v>
      </c>
      <c r="N810" s="1478">
        <v>1.3228305002075873</v>
      </c>
      <c r="O810" s="1478">
        <v>1.3313240838000817</v>
      </c>
    </row>
    <row r="811" spans="11:15">
      <c r="K811" s="1475">
        <v>42868</v>
      </c>
      <c r="L811" s="1476"/>
      <c r="M811" s="1477">
        <v>0</v>
      </c>
      <c r="N811" s="1478">
        <v>1.3228305002075873</v>
      </c>
      <c r="O811" s="1478">
        <v>1.3313240838000817</v>
      </c>
    </row>
    <row r="812" spans="11:15">
      <c r="K812" s="1475">
        <v>42869</v>
      </c>
      <c r="L812" s="1476"/>
      <c r="M812" s="1477">
        <v>0</v>
      </c>
      <c r="N812" s="1478">
        <v>1.3228305002075873</v>
      </c>
      <c r="O812" s="1478">
        <v>1.3313240838000817</v>
      </c>
    </row>
    <row r="813" spans="11:15">
      <c r="K813" s="1475">
        <v>42870</v>
      </c>
      <c r="L813" s="1476" t="s">
        <v>2127</v>
      </c>
      <c r="M813" s="1477">
        <v>4.1957000000000001E-2</v>
      </c>
      <c r="N813" s="1478">
        <v>1.3233855202005596</v>
      </c>
      <c r="O813" s="1478">
        <v>1.3320234416545427</v>
      </c>
    </row>
    <row r="814" spans="11:15">
      <c r="K814" s="1475">
        <v>42871</v>
      </c>
      <c r="L814" s="1476" t="s">
        <v>2127</v>
      </c>
      <c r="M814" s="1477">
        <v>4.1957000000000001E-2</v>
      </c>
      <c r="N814" s="1478">
        <v>1.3239407730632702</v>
      </c>
      <c r="O814" s="1478">
        <v>1.3327231668886783</v>
      </c>
    </row>
    <row r="815" spans="11:15">
      <c r="K815" s="1475">
        <v>42872</v>
      </c>
      <c r="L815" s="1476" t="s">
        <v>2127</v>
      </c>
      <c r="M815" s="1477">
        <v>4.1957000000000001E-2</v>
      </c>
      <c r="N815" s="1478">
        <v>1.3244962588934244</v>
      </c>
      <c r="O815" s="1478">
        <v>1.3334232596954767</v>
      </c>
    </row>
    <row r="816" spans="11:15">
      <c r="K816" s="1475">
        <v>42873</v>
      </c>
      <c r="L816" s="1476" t="s">
        <v>2127</v>
      </c>
      <c r="M816" s="1477">
        <v>4.1957000000000001E-2</v>
      </c>
      <c r="N816" s="1478">
        <v>1.3250519777887684</v>
      </c>
      <c r="O816" s="1478">
        <v>1.3341237202680274</v>
      </c>
    </row>
    <row r="817" spans="11:15">
      <c r="K817" s="1475">
        <v>42874</v>
      </c>
      <c r="L817" s="1476" t="s">
        <v>2127</v>
      </c>
      <c r="M817" s="1477">
        <v>4.1957000000000001E-2</v>
      </c>
      <c r="N817" s="1478">
        <v>1.3256079298470893</v>
      </c>
      <c r="O817" s="1478">
        <v>1.3348245487995214</v>
      </c>
    </row>
    <row r="818" spans="11:15">
      <c r="K818" s="1475">
        <v>42875</v>
      </c>
      <c r="L818" s="1476"/>
      <c r="M818" s="1477">
        <v>0</v>
      </c>
      <c r="N818" s="1478">
        <v>1.3256079298470893</v>
      </c>
      <c r="O818" s="1478">
        <v>1.3348245487995214</v>
      </c>
    </row>
    <row r="819" spans="11:15">
      <c r="K819" s="1475">
        <v>42876</v>
      </c>
      <c r="L819" s="1476"/>
      <c r="M819" s="1477">
        <v>0</v>
      </c>
      <c r="N819" s="1478">
        <v>1.3256079298470893</v>
      </c>
      <c r="O819" s="1478">
        <v>1.3348245487995214</v>
      </c>
    </row>
    <row r="820" spans="11:15">
      <c r="K820" s="1475">
        <v>42877</v>
      </c>
      <c r="L820" s="1476" t="s">
        <v>2127</v>
      </c>
      <c r="M820" s="1477">
        <v>4.1957000000000001E-2</v>
      </c>
      <c r="N820" s="1478">
        <v>1.3261641151662154</v>
      </c>
      <c r="O820" s="1478">
        <v>1.3355257454832512</v>
      </c>
    </row>
    <row r="821" spans="11:15">
      <c r="K821" s="1475">
        <v>42878</v>
      </c>
      <c r="L821" s="1476" t="s">
        <v>2127</v>
      </c>
      <c r="M821" s="1477">
        <v>4.1957000000000001E-2</v>
      </c>
      <c r="N821" s="1478">
        <v>1.3267205338440158</v>
      </c>
      <c r="O821" s="1478">
        <v>1.336227310512611</v>
      </c>
    </row>
    <row r="822" spans="11:15">
      <c r="K822" s="1475">
        <v>42879</v>
      </c>
      <c r="L822" s="1476" t="s">
        <v>2127</v>
      </c>
      <c r="M822" s="1477">
        <v>4.1957000000000001E-2</v>
      </c>
      <c r="N822" s="1478">
        <v>1.3272771859784007</v>
      </c>
      <c r="O822" s="1478">
        <v>1.3369292440810965</v>
      </c>
    </row>
    <row r="823" spans="11:15">
      <c r="K823" s="1475">
        <v>42880</v>
      </c>
      <c r="L823" s="1476" t="s">
        <v>2127</v>
      </c>
      <c r="M823" s="1477">
        <v>4.1957000000000001E-2</v>
      </c>
      <c r="N823" s="1478">
        <v>1.3278340716673218</v>
      </c>
      <c r="O823" s="1478">
        <v>1.3376315463823047</v>
      </c>
    </row>
    <row r="824" spans="11:15">
      <c r="K824" s="1475">
        <v>42881</v>
      </c>
      <c r="L824" s="1476" t="s">
        <v>2127</v>
      </c>
      <c r="M824" s="1477">
        <v>4.1957000000000001E-2</v>
      </c>
      <c r="N824" s="1478">
        <v>1.3283911910087713</v>
      </c>
      <c r="O824" s="1478">
        <v>1.3383342176099349</v>
      </c>
    </row>
    <row r="825" spans="11:15">
      <c r="K825" s="1475">
        <v>42882</v>
      </c>
      <c r="L825" s="1476"/>
      <c r="M825" s="1477">
        <v>0</v>
      </c>
      <c r="N825" s="1478">
        <v>1.3283911910087713</v>
      </c>
      <c r="O825" s="1478">
        <v>1.3383342176099349</v>
      </c>
    </row>
    <row r="826" spans="11:15">
      <c r="K826" s="1475">
        <v>42883</v>
      </c>
      <c r="L826" s="1476"/>
      <c r="M826" s="1477">
        <v>0</v>
      </c>
      <c r="N826" s="1478">
        <v>1.3283911910087713</v>
      </c>
      <c r="O826" s="1478">
        <v>1.3383342176099349</v>
      </c>
    </row>
    <row r="827" spans="11:15">
      <c r="K827" s="1475">
        <v>42884</v>
      </c>
      <c r="L827" s="1476" t="s">
        <v>2127</v>
      </c>
      <c r="M827" s="1477">
        <v>4.1957000000000001E-2</v>
      </c>
      <c r="N827" s="1478">
        <v>1.3289485441007829</v>
      </c>
      <c r="O827" s="1478">
        <v>1.3390372579577876</v>
      </c>
    </row>
    <row r="828" spans="11:15">
      <c r="K828" s="1475">
        <v>42885</v>
      </c>
      <c r="L828" s="1476" t="s">
        <v>2127</v>
      </c>
      <c r="M828" s="1477">
        <v>4.1957000000000001E-2</v>
      </c>
      <c r="N828" s="1478">
        <v>1.3295061310414313</v>
      </c>
      <c r="O828" s="1478">
        <v>1.3397406676197654</v>
      </c>
    </row>
    <row r="829" spans="11:15">
      <c r="K829" s="1475">
        <v>42886</v>
      </c>
      <c r="L829" s="1476" t="s">
        <v>2127</v>
      </c>
      <c r="M829" s="1477">
        <v>4.1957000000000001E-2</v>
      </c>
      <c r="N829" s="1478">
        <v>1.3300639519288324</v>
      </c>
      <c r="O829" s="1478">
        <v>1.3404444467898728</v>
      </c>
    </row>
    <row r="830" spans="11:15">
      <c r="K830" s="1475">
        <v>42887</v>
      </c>
      <c r="L830" s="1476" t="s">
        <v>2127</v>
      </c>
      <c r="M830" s="1477">
        <v>3.8370000000000001E-2</v>
      </c>
      <c r="N830" s="1478">
        <v>1.3305742974671875</v>
      </c>
      <c r="O830" s="1478">
        <v>1.341148595662216</v>
      </c>
    </row>
    <row r="831" spans="11:15">
      <c r="K831" s="1475">
        <v>42888</v>
      </c>
      <c r="L831" s="1476" t="s">
        <v>2127</v>
      </c>
      <c r="M831" s="1477">
        <v>3.8370000000000001E-2</v>
      </c>
      <c r="N831" s="1478">
        <v>1.3310848388251255</v>
      </c>
      <c r="O831" s="1478">
        <v>1.3418531144310033</v>
      </c>
    </row>
    <row r="832" spans="11:15">
      <c r="K832" s="1475">
        <v>42889</v>
      </c>
      <c r="L832" s="1476"/>
      <c r="M832" s="1477">
        <v>0</v>
      </c>
      <c r="N832" s="1478">
        <v>1.3310848388251255</v>
      </c>
      <c r="O832" s="1478">
        <v>1.3418531144310033</v>
      </c>
    </row>
    <row r="833" spans="11:15">
      <c r="K833" s="1475">
        <v>42890</v>
      </c>
      <c r="L833" s="1476"/>
      <c r="M833" s="1477">
        <v>0</v>
      </c>
      <c r="N833" s="1478">
        <v>1.3310848388251255</v>
      </c>
      <c r="O833" s="1478">
        <v>1.3418531144310033</v>
      </c>
    </row>
    <row r="834" spans="11:15">
      <c r="K834" s="1475">
        <v>42891</v>
      </c>
      <c r="L834" s="1476" t="s">
        <v>2127</v>
      </c>
      <c r="M834" s="1477">
        <v>3.8370000000000001E-2</v>
      </c>
      <c r="N834" s="1478">
        <v>1.3315955760777827</v>
      </c>
      <c r="O834" s="1478">
        <v>1.3425580032905451</v>
      </c>
    </row>
    <row r="835" spans="11:15">
      <c r="K835" s="1475">
        <v>42892</v>
      </c>
      <c r="L835" s="1476" t="s">
        <v>2127</v>
      </c>
      <c r="M835" s="1477">
        <v>3.8370000000000001E-2</v>
      </c>
      <c r="N835" s="1478">
        <v>1.3321065093003237</v>
      </c>
      <c r="O835" s="1478">
        <v>1.3432632624352536</v>
      </c>
    </row>
    <row r="836" spans="11:15">
      <c r="K836" s="1475">
        <v>42893</v>
      </c>
      <c r="L836" s="1476" t="s">
        <v>2127</v>
      </c>
      <c r="M836" s="1477">
        <v>3.8370000000000001E-2</v>
      </c>
      <c r="N836" s="1478">
        <v>1.3326176385679422</v>
      </c>
      <c r="O836" s="1478">
        <v>1.3439688920596435</v>
      </c>
    </row>
    <row r="837" spans="11:15">
      <c r="K837" s="1475">
        <v>42894</v>
      </c>
      <c r="L837" s="1476" t="s">
        <v>2127</v>
      </c>
      <c r="M837" s="1477">
        <v>3.8370000000000001E-2</v>
      </c>
      <c r="N837" s="1478">
        <v>1.3331289639558608</v>
      </c>
      <c r="O837" s="1478">
        <v>1.3446748923583314</v>
      </c>
    </row>
    <row r="838" spans="11:15">
      <c r="K838" s="1475">
        <v>42895</v>
      </c>
      <c r="L838" s="1476" t="s">
        <v>2127</v>
      </c>
      <c r="M838" s="1477">
        <v>3.8370000000000001E-2</v>
      </c>
      <c r="N838" s="1478">
        <v>1.3336404855393307</v>
      </c>
      <c r="O838" s="1478">
        <v>1.345381263526036</v>
      </c>
    </row>
    <row r="839" spans="11:15">
      <c r="K839" s="1475">
        <v>42896</v>
      </c>
      <c r="L839" s="1476"/>
      <c r="M839" s="1477">
        <v>0</v>
      </c>
      <c r="N839" s="1478">
        <v>1.3336404855393307</v>
      </c>
      <c r="O839" s="1478">
        <v>1.345381263526036</v>
      </c>
    </row>
    <row r="840" spans="11:15">
      <c r="K840" s="1475">
        <v>42897</v>
      </c>
      <c r="L840" s="1476"/>
      <c r="M840" s="1477">
        <v>0</v>
      </c>
      <c r="N840" s="1478">
        <v>1.3336404855393307</v>
      </c>
      <c r="O840" s="1478">
        <v>1.345381263526036</v>
      </c>
    </row>
    <row r="841" spans="11:15">
      <c r="K841" s="1475">
        <v>42898</v>
      </c>
      <c r="L841" s="1476" t="s">
        <v>2127</v>
      </c>
      <c r="M841" s="1477">
        <v>3.8370000000000001E-2</v>
      </c>
      <c r="N841" s="1478">
        <v>1.3341522033936322</v>
      </c>
      <c r="O841" s="1478">
        <v>1.3460880057575788</v>
      </c>
    </row>
    <row r="842" spans="11:15">
      <c r="K842" s="1475">
        <v>42899</v>
      </c>
      <c r="L842" s="1476" t="s">
        <v>2127</v>
      </c>
      <c r="M842" s="1477">
        <v>3.8370000000000001E-2</v>
      </c>
      <c r="N842" s="1478">
        <v>1.3346641175940743</v>
      </c>
      <c r="O842" s="1478">
        <v>1.3467951192478833</v>
      </c>
    </row>
    <row r="843" spans="11:15">
      <c r="K843" s="1475">
        <v>42900</v>
      </c>
      <c r="L843" s="1476" t="s">
        <v>2127</v>
      </c>
      <c r="M843" s="1477">
        <v>3.8370000000000001E-2</v>
      </c>
      <c r="N843" s="1478">
        <v>1.3351762282159951</v>
      </c>
      <c r="O843" s="1478">
        <v>1.3475026041919753</v>
      </c>
    </row>
    <row r="844" spans="11:15">
      <c r="K844" s="1475">
        <v>42901</v>
      </c>
      <c r="L844" s="1476"/>
      <c r="M844" s="1477">
        <v>0</v>
      </c>
      <c r="N844" s="1478">
        <v>1.3351762282159951</v>
      </c>
      <c r="O844" s="1478">
        <v>1.3475026041919753</v>
      </c>
    </row>
    <row r="845" spans="11:15">
      <c r="K845" s="1475">
        <v>42902</v>
      </c>
      <c r="L845" s="1476" t="s">
        <v>2127</v>
      </c>
      <c r="M845" s="1477">
        <v>3.8370000000000001E-2</v>
      </c>
      <c r="N845" s="1478">
        <v>1.3356885353347616</v>
      </c>
      <c r="O845" s="1478">
        <v>1.3482104607849834</v>
      </c>
    </row>
    <row r="846" spans="11:15">
      <c r="K846" s="1475">
        <v>42903</v>
      </c>
      <c r="L846" s="1476"/>
      <c r="M846" s="1477">
        <v>0</v>
      </c>
      <c r="N846" s="1478">
        <v>1.3356885353347616</v>
      </c>
      <c r="O846" s="1478">
        <v>1.3482104607849834</v>
      </c>
    </row>
    <row r="847" spans="11:15">
      <c r="K847" s="1475">
        <v>42904</v>
      </c>
      <c r="L847" s="1476"/>
      <c r="M847" s="1477">
        <v>0</v>
      </c>
      <c r="N847" s="1478">
        <v>1.3356885353347616</v>
      </c>
      <c r="O847" s="1478">
        <v>1.3482104607849834</v>
      </c>
    </row>
    <row r="848" spans="11:15">
      <c r="K848" s="1475">
        <v>42905</v>
      </c>
      <c r="L848" s="1476" t="s">
        <v>2127</v>
      </c>
      <c r="M848" s="1477">
        <v>3.8370000000000001E-2</v>
      </c>
      <c r="N848" s="1478">
        <v>1.3362010390257695</v>
      </c>
      <c r="O848" s="1478">
        <v>1.3489186892221383</v>
      </c>
    </row>
    <row r="849" spans="11:15">
      <c r="K849" s="1475">
        <v>42906</v>
      </c>
      <c r="L849" s="1476" t="s">
        <v>2127</v>
      </c>
      <c r="M849" s="1477">
        <v>3.8370000000000001E-2</v>
      </c>
      <c r="N849" s="1478">
        <v>1.3367137393644437</v>
      </c>
      <c r="O849" s="1478">
        <v>1.3496272896987735</v>
      </c>
    </row>
    <row r="850" spans="11:15">
      <c r="K850" s="1475">
        <v>42907</v>
      </c>
      <c r="L850" s="1476" t="s">
        <v>2127</v>
      </c>
      <c r="M850" s="1477">
        <v>3.8370000000000001E-2</v>
      </c>
      <c r="N850" s="1478">
        <v>1.3372266364262377</v>
      </c>
      <c r="O850" s="1478">
        <v>1.3503362624103252</v>
      </c>
    </row>
    <row r="851" spans="11:15">
      <c r="K851" s="1475">
        <v>42908</v>
      </c>
      <c r="L851" s="1476" t="s">
        <v>2127</v>
      </c>
      <c r="M851" s="1477">
        <v>3.8370000000000001E-2</v>
      </c>
      <c r="N851" s="1478">
        <v>1.3377397302866345</v>
      </c>
      <c r="O851" s="1478">
        <v>1.3510456075523321</v>
      </c>
    </row>
    <row r="852" spans="11:15">
      <c r="K852" s="1475">
        <v>42909</v>
      </c>
      <c r="L852" s="1476" t="s">
        <v>2127</v>
      </c>
      <c r="M852" s="1477">
        <v>3.8370000000000001E-2</v>
      </c>
      <c r="N852" s="1478">
        <v>1.3382530210211454</v>
      </c>
      <c r="O852" s="1478">
        <v>1.3517553253204353</v>
      </c>
    </row>
    <row r="853" spans="11:15">
      <c r="K853" s="1475">
        <v>42910</v>
      </c>
      <c r="L853" s="1476"/>
      <c r="M853" s="1477">
        <v>0</v>
      </c>
      <c r="N853" s="1478">
        <v>1.3382530210211454</v>
      </c>
      <c r="O853" s="1478">
        <v>1.3517553253204353</v>
      </c>
    </row>
    <row r="854" spans="11:15">
      <c r="K854" s="1475">
        <v>42911</v>
      </c>
      <c r="L854" s="1476"/>
      <c r="M854" s="1477">
        <v>0</v>
      </c>
      <c r="N854" s="1478">
        <v>1.3382530210211454</v>
      </c>
      <c r="O854" s="1478">
        <v>1.3517553253204353</v>
      </c>
    </row>
    <row r="855" spans="11:15">
      <c r="K855" s="1475">
        <v>42912</v>
      </c>
      <c r="L855" s="1476" t="s">
        <v>2127</v>
      </c>
      <c r="M855" s="1477">
        <v>3.8370000000000001E-2</v>
      </c>
      <c r="N855" s="1478">
        <v>1.3387665087053111</v>
      </c>
      <c r="O855" s="1478">
        <v>1.3524654159103793</v>
      </c>
    </row>
    <row r="856" spans="11:15">
      <c r="K856" s="1475">
        <v>42913</v>
      </c>
      <c r="L856" s="1476" t="s">
        <v>2127</v>
      </c>
      <c r="M856" s="1477">
        <v>3.8370000000000001E-2</v>
      </c>
      <c r="N856" s="1478">
        <v>1.3392801934147014</v>
      </c>
      <c r="O856" s="1478">
        <v>1.3531758795180111</v>
      </c>
    </row>
    <row r="857" spans="11:15">
      <c r="K857" s="1475">
        <v>42914</v>
      </c>
      <c r="L857" s="1476" t="s">
        <v>2127</v>
      </c>
      <c r="M857" s="1477">
        <v>3.8370000000000001E-2</v>
      </c>
      <c r="N857" s="1478">
        <v>1.3397940752249147</v>
      </c>
      <c r="O857" s="1478">
        <v>1.3538867163392807</v>
      </c>
    </row>
    <row r="858" spans="11:15">
      <c r="K858" s="1475">
        <v>42915</v>
      </c>
      <c r="L858" s="1476" t="s">
        <v>2127</v>
      </c>
      <c r="M858" s="1477">
        <v>3.8370000000000001E-2</v>
      </c>
      <c r="N858" s="1478">
        <v>1.3403081542115785</v>
      </c>
      <c r="O858" s="1478">
        <v>1.3545979265702408</v>
      </c>
    </row>
    <row r="859" spans="11:15">
      <c r="K859" s="1475">
        <v>42916</v>
      </c>
      <c r="L859" s="1476" t="s">
        <v>2127</v>
      </c>
      <c r="M859" s="1477">
        <v>3.8370000000000001E-2</v>
      </c>
      <c r="N859" s="1478">
        <v>1.3408224304503493</v>
      </c>
      <c r="O859" s="1478">
        <v>1.3553095104070474</v>
      </c>
    </row>
    <row r="860" spans="11:15">
      <c r="K860" s="1475">
        <v>42917</v>
      </c>
      <c r="L860" s="1476"/>
      <c r="M860" s="1477">
        <v>0</v>
      </c>
      <c r="N860" s="1478">
        <v>1.3408224304503493</v>
      </c>
      <c r="O860" s="1478">
        <v>1.3553095104070474</v>
      </c>
    </row>
    <row r="861" spans="11:15">
      <c r="K861" s="1475">
        <v>42918</v>
      </c>
      <c r="L861" s="1476"/>
      <c r="M861" s="1477">
        <v>0</v>
      </c>
      <c r="N861" s="1478">
        <v>1.3408224304503493</v>
      </c>
      <c r="O861" s="1478">
        <v>1.3553095104070474</v>
      </c>
    </row>
    <row r="862" spans="11:15">
      <c r="K862" s="1475">
        <v>42919</v>
      </c>
      <c r="L862" s="1476" t="s">
        <v>2127</v>
      </c>
      <c r="M862" s="1477">
        <v>3.8370000000000001E-2</v>
      </c>
      <c r="N862" s="1478">
        <v>1.3413369040169132</v>
      </c>
      <c r="O862" s="1478">
        <v>1.3560214680459592</v>
      </c>
    </row>
    <row r="863" spans="11:15">
      <c r="K863" s="1475">
        <v>42920</v>
      </c>
      <c r="L863" s="1476" t="s">
        <v>2127</v>
      </c>
      <c r="M863" s="1477">
        <v>3.8370000000000001E-2</v>
      </c>
      <c r="N863" s="1478">
        <v>1.3418515749869844</v>
      </c>
      <c r="O863" s="1478">
        <v>1.3567337996833384</v>
      </c>
    </row>
    <row r="864" spans="11:15">
      <c r="K864" s="1475">
        <v>42921</v>
      </c>
      <c r="L864" s="1476" t="s">
        <v>2127</v>
      </c>
      <c r="M864" s="1477">
        <v>3.8370000000000001E-2</v>
      </c>
      <c r="N864" s="1478">
        <v>1.342366443436307</v>
      </c>
      <c r="O864" s="1478">
        <v>1.3574465055156502</v>
      </c>
    </row>
    <row r="865" spans="11:15">
      <c r="K865" s="1475">
        <v>42922</v>
      </c>
      <c r="L865" s="1476" t="s">
        <v>2127</v>
      </c>
      <c r="M865" s="1477">
        <v>3.8370000000000001E-2</v>
      </c>
      <c r="N865" s="1478">
        <v>1.3428815094406534</v>
      </c>
      <c r="O865" s="1478">
        <v>1.3581595857394626</v>
      </c>
    </row>
    <row r="866" spans="11:15">
      <c r="K866" s="1475">
        <v>42923</v>
      </c>
      <c r="L866" s="1476" t="s">
        <v>2127</v>
      </c>
      <c r="M866" s="1477">
        <v>3.8370000000000001E-2</v>
      </c>
      <c r="N866" s="1478">
        <v>1.3433967730758258</v>
      </c>
      <c r="O866" s="1478">
        <v>1.3588730405514473</v>
      </c>
    </row>
    <row r="867" spans="11:15">
      <c r="K867" s="1475">
        <v>42924</v>
      </c>
      <c r="L867" s="1476"/>
      <c r="M867" s="1477">
        <v>0</v>
      </c>
      <c r="N867" s="1478">
        <v>1.3433967730758258</v>
      </c>
      <c r="O867" s="1478">
        <v>1.3588730405514473</v>
      </c>
    </row>
    <row r="868" spans="11:15">
      <c r="K868" s="1475">
        <v>42925</v>
      </c>
      <c r="L868" s="1476"/>
      <c r="M868" s="1477">
        <v>0</v>
      </c>
      <c r="N868" s="1478">
        <v>1.3433967730758258</v>
      </c>
      <c r="O868" s="1478">
        <v>1.3588730405514473</v>
      </c>
    </row>
    <row r="869" spans="11:15">
      <c r="K869" s="1475">
        <v>42926</v>
      </c>
      <c r="L869" s="1476" t="s">
        <v>2127</v>
      </c>
      <c r="M869" s="1477">
        <v>3.8370000000000001E-2</v>
      </c>
      <c r="N869" s="1478">
        <v>1.3439122344176551</v>
      </c>
      <c r="O869" s="1478">
        <v>1.3595868701483793</v>
      </c>
    </row>
    <row r="870" spans="11:15">
      <c r="K870" s="1475">
        <v>42927</v>
      </c>
      <c r="L870" s="1476" t="s">
        <v>2127</v>
      </c>
      <c r="M870" s="1477">
        <v>3.8370000000000001E-2</v>
      </c>
      <c r="N870" s="1478">
        <v>1.3444278935420011</v>
      </c>
      <c r="O870" s="1478">
        <v>1.3603010747271369</v>
      </c>
    </row>
    <row r="871" spans="11:15">
      <c r="K871" s="1475">
        <v>42928</v>
      </c>
      <c r="L871" s="1476" t="s">
        <v>2127</v>
      </c>
      <c r="M871" s="1477">
        <v>3.8370000000000001E-2</v>
      </c>
      <c r="N871" s="1478">
        <v>1.3449437505247532</v>
      </c>
      <c r="O871" s="1478">
        <v>1.3610156544847019</v>
      </c>
    </row>
    <row r="872" spans="11:15">
      <c r="K872" s="1475">
        <v>42929</v>
      </c>
      <c r="L872" s="1476" t="s">
        <v>2127</v>
      </c>
      <c r="M872" s="1477">
        <v>3.8370000000000001E-2</v>
      </c>
      <c r="N872" s="1478">
        <v>1.3454598054418296</v>
      </c>
      <c r="O872" s="1478">
        <v>1.3617306096181592</v>
      </c>
    </row>
    <row r="873" spans="11:15">
      <c r="K873" s="1475">
        <v>42930</v>
      </c>
      <c r="L873" s="1476" t="s">
        <v>2127</v>
      </c>
      <c r="M873" s="1477">
        <v>3.8370000000000001E-2</v>
      </c>
      <c r="N873" s="1478">
        <v>1.3459760583691776</v>
      </c>
      <c r="O873" s="1478">
        <v>1.3624459403246978</v>
      </c>
    </row>
    <row r="874" spans="11:15">
      <c r="K874" s="1475">
        <v>42931</v>
      </c>
      <c r="L874" s="1476"/>
      <c r="M874" s="1477">
        <v>0</v>
      </c>
      <c r="N874" s="1478">
        <v>1.3459760583691776</v>
      </c>
      <c r="O874" s="1478">
        <v>1.3624459403246978</v>
      </c>
    </row>
    <row r="875" spans="11:15">
      <c r="K875" s="1475">
        <v>42932</v>
      </c>
      <c r="L875" s="1476"/>
      <c r="M875" s="1477">
        <v>0</v>
      </c>
      <c r="N875" s="1478">
        <v>1.3459760583691776</v>
      </c>
      <c r="O875" s="1478">
        <v>1.3624459403246978</v>
      </c>
    </row>
    <row r="876" spans="11:15">
      <c r="K876" s="1475">
        <v>42933</v>
      </c>
      <c r="L876" s="1476" t="s">
        <v>2127</v>
      </c>
      <c r="M876" s="1477">
        <v>3.8370000000000001E-2</v>
      </c>
      <c r="N876" s="1478">
        <v>1.3464925093827738</v>
      </c>
      <c r="O876" s="1478">
        <v>1.3631616468016097</v>
      </c>
    </row>
    <row r="877" spans="11:15">
      <c r="K877" s="1475">
        <v>42934</v>
      </c>
      <c r="L877" s="1476" t="s">
        <v>2127</v>
      </c>
      <c r="M877" s="1477">
        <v>3.8370000000000001E-2</v>
      </c>
      <c r="N877" s="1478">
        <v>1.3470091585586239</v>
      </c>
      <c r="O877" s="1478">
        <v>1.3638777292462911</v>
      </c>
    </row>
    <row r="878" spans="11:15">
      <c r="K878" s="1475">
        <v>42935</v>
      </c>
      <c r="L878" s="1476" t="s">
        <v>2127</v>
      </c>
      <c r="M878" s="1477">
        <v>3.8370000000000001E-2</v>
      </c>
      <c r="N878" s="1478">
        <v>1.3475260059727627</v>
      </c>
      <c r="O878" s="1478">
        <v>1.3645941878562415</v>
      </c>
    </row>
    <row r="879" spans="11:15">
      <c r="K879" s="1475">
        <v>42936</v>
      </c>
      <c r="L879" s="1476" t="s">
        <v>2127</v>
      </c>
      <c r="M879" s="1477">
        <v>3.8370000000000001E-2</v>
      </c>
      <c r="N879" s="1478">
        <v>1.3480430517012545</v>
      </c>
      <c r="O879" s="1478">
        <v>1.3653110228290644</v>
      </c>
    </row>
    <row r="880" spans="11:15">
      <c r="K880" s="1475">
        <v>42937</v>
      </c>
      <c r="L880" s="1476" t="s">
        <v>2127</v>
      </c>
      <c r="M880" s="1477">
        <v>3.8370000000000001E-2</v>
      </c>
      <c r="N880" s="1478">
        <v>1.3485602958201923</v>
      </c>
      <c r="O880" s="1478">
        <v>1.3660282343624668</v>
      </c>
    </row>
    <row r="881" spans="11:15">
      <c r="K881" s="1475">
        <v>42938</v>
      </c>
      <c r="L881" s="1476"/>
      <c r="M881" s="1477">
        <v>0</v>
      </c>
      <c r="N881" s="1478">
        <v>1.3485602958201923</v>
      </c>
      <c r="O881" s="1478">
        <v>1.3660282343624668</v>
      </c>
    </row>
    <row r="882" spans="11:15">
      <c r="K882" s="1475">
        <v>42939</v>
      </c>
      <c r="L882" s="1476"/>
      <c r="M882" s="1477">
        <v>0</v>
      </c>
      <c r="N882" s="1478">
        <v>1.3485602958201923</v>
      </c>
      <c r="O882" s="1478">
        <v>1.3660282343624668</v>
      </c>
    </row>
    <row r="883" spans="11:15">
      <c r="K883" s="1475">
        <v>42940</v>
      </c>
      <c r="L883" s="1476" t="s">
        <v>2127</v>
      </c>
      <c r="M883" s="1477">
        <v>3.8370000000000001E-2</v>
      </c>
      <c r="N883" s="1478">
        <v>1.3490777384056984</v>
      </c>
      <c r="O883" s="1478">
        <v>1.3667458226542597</v>
      </c>
    </row>
    <row r="884" spans="11:15">
      <c r="K884" s="1475">
        <v>42941</v>
      </c>
      <c r="L884" s="1476" t="s">
        <v>2127</v>
      </c>
      <c r="M884" s="1477">
        <v>3.8370000000000001E-2</v>
      </c>
      <c r="N884" s="1478">
        <v>1.3495953795339246</v>
      </c>
      <c r="O884" s="1478">
        <v>1.3674637879023581</v>
      </c>
    </row>
    <row r="885" spans="11:15">
      <c r="K885" s="1475">
        <v>42942</v>
      </c>
      <c r="L885" s="1476" t="s">
        <v>2127</v>
      </c>
      <c r="M885" s="1477">
        <v>3.8370000000000001E-2</v>
      </c>
      <c r="N885" s="1478">
        <v>1.3501132192810517</v>
      </c>
      <c r="O885" s="1478">
        <v>1.3681821303047812</v>
      </c>
    </row>
    <row r="886" spans="11:15">
      <c r="K886" s="1475">
        <v>42943</v>
      </c>
      <c r="L886" s="1476" t="s">
        <v>2127</v>
      </c>
      <c r="M886" s="1477">
        <v>3.4749000000000002E-2</v>
      </c>
      <c r="N886" s="1478">
        <v>1.3505823701236197</v>
      </c>
      <c r="O886" s="1478">
        <v>1.3689008500596516</v>
      </c>
    </row>
    <row r="887" spans="11:15">
      <c r="K887" s="1475">
        <v>42944</v>
      </c>
      <c r="L887" s="1476" t="s">
        <v>2127</v>
      </c>
      <c r="M887" s="1477">
        <v>3.4749000000000002E-2</v>
      </c>
      <c r="N887" s="1478">
        <v>1.351051683991414</v>
      </c>
      <c r="O887" s="1478">
        <v>1.3696199473651964</v>
      </c>
    </row>
    <row r="888" spans="11:15">
      <c r="K888" s="1475">
        <v>42945</v>
      </c>
      <c r="L888" s="1476"/>
      <c r="M888" s="1477">
        <v>0</v>
      </c>
      <c r="N888" s="1478">
        <v>1.351051683991414</v>
      </c>
      <c r="O888" s="1478">
        <v>1.3696199473651964</v>
      </c>
    </row>
    <row r="889" spans="11:15">
      <c r="K889" s="1475">
        <v>42946</v>
      </c>
      <c r="L889" s="1476"/>
      <c r="M889" s="1477">
        <v>0</v>
      </c>
      <c r="N889" s="1478">
        <v>1.351051683991414</v>
      </c>
      <c r="O889" s="1478">
        <v>1.3696199473651964</v>
      </c>
    </row>
    <row r="890" spans="11:15">
      <c r="K890" s="1475">
        <v>42947</v>
      </c>
      <c r="L890" s="1476" t="s">
        <v>2127</v>
      </c>
      <c r="M890" s="1477">
        <v>3.4749000000000002E-2</v>
      </c>
      <c r="N890" s="1478">
        <v>1.3515211609410842</v>
      </c>
      <c r="O890" s="1478">
        <v>1.3703394224197469</v>
      </c>
    </row>
    <row r="891" spans="11:15">
      <c r="K891" s="1475">
        <v>42948</v>
      </c>
      <c r="L891" s="1476" t="s">
        <v>2127</v>
      </c>
      <c r="M891" s="1477">
        <v>3.4749000000000002E-2</v>
      </c>
      <c r="N891" s="1478">
        <v>1.3519908010292996</v>
      </c>
      <c r="O891" s="1478">
        <v>1.3710592754217383</v>
      </c>
    </row>
    <row r="892" spans="11:15">
      <c r="K892" s="1475">
        <v>42949</v>
      </c>
      <c r="L892" s="1476" t="s">
        <v>2127</v>
      </c>
      <c r="M892" s="1477">
        <v>3.4749000000000002E-2</v>
      </c>
      <c r="N892" s="1478">
        <v>1.3524606043127492</v>
      </c>
      <c r="O892" s="1478">
        <v>1.37177950656971</v>
      </c>
    </row>
    <row r="893" spans="11:15">
      <c r="K893" s="1475">
        <v>42950</v>
      </c>
      <c r="L893" s="1476" t="s">
        <v>2127</v>
      </c>
      <c r="M893" s="1477">
        <v>3.4749000000000002E-2</v>
      </c>
      <c r="N893" s="1478">
        <v>1.3529305708481418</v>
      </c>
      <c r="O893" s="1478">
        <v>1.3725001160623063</v>
      </c>
    </row>
    <row r="894" spans="11:15">
      <c r="K894" s="1475">
        <v>42951</v>
      </c>
      <c r="L894" s="1476" t="s">
        <v>2127</v>
      </c>
      <c r="M894" s="1477">
        <v>3.4749000000000002E-2</v>
      </c>
      <c r="N894" s="1478">
        <v>1.353400700692206</v>
      </c>
      <c r="O894" s="1478">
        <v>1.3732211040982749</v>
      </c>
    </row>
    <row r="895" spans="11:15">
      <c r="K895" s="1475">
        <v>42952</v>
      </c>
      <c r="L895" s="1476"/>
      <c r="M895" s="1477">
        <v>0</v>
      </c>
      <c r="N895" s="1478">
        <v>1.353400700692206</v>
      </c>
      <c r="O895" s="1478">
        <v>1.3732211040982749</v>
      </c>
    </row>
    <row r="896" spans="11:15">
      <c r="K896" s="1475">
        <v>42953</v>
      </c>
      <c r="L896" s="1476"/>
      <c r="M896" s="1477">
        <v>0</v>
      </c>
      <c r="N896" s="1478">
        <v>1.353400700692206</v>
      </c>
      <c r="O896" s="1478">
        <v>1.3732211040982749</v>
      </c>
    </row>
    <row r="897" spans="11:15">
      <c r="K897" s="1475">
        <v>42954</v>
      </c>
      <c r="L897" s="1476" t="s">
        <v>2127</v>
      </c>
      <c r="M897" s="1477">
        <v>3.4749000000000002E-2</v>
      </c>
      <c r="N897" s="1478">
        <v>1.3538709939016895</v>
      </c>
      <c r="O897" s="1478">
        <v>1.3739424708764687</v>
      </c>
    </row>
    <row r="898" spans="11:15">
      <c r="K898" s="1475">
        <v>42955</v>
      </c>
      <c r="L898" s="1476" t="s">
        <v>2127</v>
      </c>
      <c r="M898" s="1477">
        <v>3.4749000000000002E-2</v>
      </c>
      <c r="N898" s="1478">
        <v>1.3543414505333604</v>
      </c>
      <c r="O898" s="1478">
        <v>1.3746642165958449</v>
      </c>
    </row>
    <row r="899" spans="11:15">
      <c r="K899" s="1475">
        <v>42956</v>
      </c>
      <c r="L899" s="1476" t="s">
        <v>2127</v>
      </c>
      <c r="M899" s="1477">
        <v>3.4749000000000002E-2</v>
      </c>
      <c r="N899" s="1478">
        <v>1.3548120706440063</v>
      </c>
      <c r="O899" s="1478">
        <v>1.3753863414554648</v>
      </c>
    </row>
    <row r="900" spans="11:15">
      <c r="K900" s="1475">
        <v>42957</v>
      </c>
      <c r="L900" s="1476" t="s">
        <v>2127</v>
      </c>
      <c r="M900" s="1477">
        <v>3.4749000000000002E-2</v>
      </c>
      <c r="N900" s="1478">
        <v>1.3552828542904345</v>
      </c>
      <c r="O900" s="1478">
        <v>1.3761088456544948</v>
      </c>
    </row>
    <row r="901" spans="11:15">
      <c r="K901" s="1475">
        <v>42958</v>
      </c>
      <c r="L901" s="1476" t="s">
        <v>2127</v>
      </c>
      <c r="M901" s="1477">
        <v>3.4749000000000002E-2</v>
      </c>
      <c r="N901" s="1478">
        <v>1.3557538015294719</v>
      </c>
      <c r="O901" s="1478">
        <v>1.3768317293922054</v>
      </c>
    </row>
    <row r="902" spans="11:15">
      <c r="K902" s="1475">
        <v>42959</v>
      </c>
      <c r="L902" s="1476"/>
      <c r="M902" s="1477">
        <v>0</v>
      </c>
      <c r="N902" s="1478">
        <v>1.3557538015294719</v>
      </c>
      <c r="O902" s="1478">
        <v>1.3768317293922054</v>
      </c>
    </row>
    <row r="903" spans="11:15">
      <c r="K903" s="1475">
        <v>42960</v>
      </c>
      <c r="L903" s="1476"/>
      <c r="M903" s="1477">
        <v>0</v>
      </c>
      <c r="N903" s="1478">
        <v>1.3557538015294719</v>
      </c>
      <c r="O903" s="1478">
        <v>1.3768317293922054</v>
      </c>
    </row>
    <row r="904" spans="11:15">
      <c r="K904" s="1475">
        <v>42961</v>
      </c>
      <c r="L904" s="1476" t="s">
        <v>2127</v>
      </c>
      <c r="M904" s="1477">
        <v>3.4749000000000002E-2</v>
      </c>
      <c r="N904" s="1478">
        <v>1.3562249124179653</v>
      </c>
      <c r="O904" s="1478">
        <v>1.3775549928679724</v>
      </c>
    </row>
    <row r="905" spans="11:15">
      <c r="K905" s="1475">
        <v>42962</v>
      </c>
      <c r="L905" s="1476" t="s">
        <v>2127</v>
      </c>
      <c r="M905" s="1477">
        <v>3.4749000000000002E-2</v>
      </c>
      <c r="N905" s="1478">
        <v>1.3566961870127814</v>
      </c>
      <c r="O905" s="1478">
        <v>1.378278636281276</v>
      </c>
    </row>
    <row r="906" spans="11:15">
      <c r="K906" s="1475">
        <v>42963</v>
      </c>
      <c r="L906" s="1476" t="s">
        <v>2127</v>
      </c>
      <c r="M906" s="1477">
        <v>3.4749000000000002E-2</v>
      </c>
      <c r="N906" s="1478">
        <v>1.3571676253708065</v>
      </c>
      <c r="O906" s="1478">
        <v>1.3790026598317009</v>
      </c>
    </row>
    <row r="907" spans="11:15">
      <c r="K907" s="1475">
        <v>42964</v>
      </c>
      <c r="L907" s="1476" t="s">
        <v>2127</v>
      </c>
      <c r="M907" s="1477">
        <v>3.4749000000000002E-2</v>
      </c>
      <c r="N907" s="1478">
        <v>1.3576392275489466</v>
      </c>
      <c r="O907" s="1478">
        <v>1.3797270637189372</v>
      </c>
    </row>
    <row r="908" spans="11:15">
      <c r="K908" s="1475">
        <v>42965</v>
      </c>
      <c r="L908" s="1476" t="s">
        <v>2127</v>
      </c>
      <c r="M908" s="1477">
        <v>3.4749000000000002E-2</v>
      </c>
      <c r="N908" s="1478">
        <v>1.3581109936041276</v>
      </c>
      <c r="O908" s="1478">
        <v>1.3804518481427794</v>
      </c>
    </row>
    <row r="909" spans="11:15">
      <c r="K909" s="1475">
        <v>42966</v>
      </c>
      <c r="L909" s="1476"/>
      <c r="M909" s="1477">
        <v>0</v>
      </c>
      <c r="N909" s="1478">
        <v>1.3581109936041276</v>
      </c>
      <c r="O909" s="1478">
        <v>1.3804518481427794</v>
      </c>
    </row>
    <row r="910" spans="11:15">
      <c r="K910" s="1475">
        <v>42967</v>
      </c>
      <c r="L910" s="1476"/>
      <c r="M910" s="1477">
        <v>0</v>
      </c>
      <c r="N910" s="1478">
        <v>1.3581109936041276</v>
      </c>
      <c r="O910" s="1478">
        <v>1.3804518481427794</v>
      </c>
    </row>
    <row r="911" spans="11:15">
      <c r="K911" s="1475">
        <v>42968</v>
      </c>
      <c r="L911" s="1476" t="s">
        <v>2127</v>
      </c>
      <c r="M911" s="1477">
        <v>3.4749000000000002E-2</v>
      </c>
      <c r="N911" s="1478">
        <v>1.3585829235932951</v>
      </c>
      <c r="O911" s="1478">
        <v>1.3811770133031274</v>
      </c>
    </row>
    <row r="912" spans="11:15">
      <c r="K912" s="1475">
        <v>42969</v>
      </c>
      <c r="L912" s="1476" t="s">
        <v>2127</v>
      </c>
      <c r="M912" s="1477">
        <v>3.4749000000000002E-2</v>
      </c>
      <c r="N912" s="1478">
        <v>1.3590550175734146</v>
      </c>
      <c r="O912" s="1478">
        <v>1.3819025593999856</v>
      </c>
    </row>
    <row r="913" spans="11:15">
      <c r="K913" s="1475">
        <v>42970</v>
      </c>
      <c r="L913" s="1476" t="s">
        <v>2127</v>
      </c>
      <c r="M913" s="1477">
        <v>3.4749000000000002E-2</v>
      </c>
      <c r="N913" s="1478">
        <v>1.3595272756014711</v>
      </c>
      <c r="O913" s="1478">
        <v>1.3826284866334639</v>
      </c>
    </row>
    <row r="914" spans="11:15">
      <c r="K914" s="1475">
        <v>42971</v>
      </c>
      <c r="L914" s="1476" t="s">
        <v>2127</v>
      </c>
      <c r="M914" s="1477">
        <v>3.4749000000000002E-2</v>
      </c>
      <c r="N914" s="1478">
        <v>1.3599996977344699</v>
      </c>
      <c r="O914" s="1478">
        <v>1.3833547952037775</v>
      </c>
    </row>
    <row r="915" spans="11:15">
      <c r="K915" s="1475">
        <v>42972</v>
      </c>
      <c r="L915" s="1476" t="s">
        <v>2127</v>
      </c>
      <c r="M915" s="1477">
        <v>3.4749000000000002E-2</v>
      </c>
      <c r="N915" s="1478">
        <v>1.3604722840294357</v>
      </c>
      <c r="O915" s="1478">
        <v>1.384081485311246</v>
      </c>
    </row>
    <row r="916" spans="11:15">
      <c r="K916" s="1475">
        <v>42973</v>
      </c>
      <c r="L916" s="1476"/>
      <c r="M916" s="1477">
        <v>0</v>
      </c>
      <c r="N916" s="1478">
        <v>1.3604722840294357</v>
      </c>
      <c r="O916" s="1478">
        <v>1.384081485311246</v>
      </c>
    </row>
    <row r="917" spans="11:15">
      <c r="K917" s="1475">
        <v>42974</v>
      </c>
      <c r="L917" s="1476"/>
      <c r="M917" s="1477">
        <v>0</v>
      </c>
      <c r="N917" s="1478">
        <v>1.3604722840294357</v>
      </c>
      <c r="O917" s="1478">
        <v>1.384081485311246</v>
      </c>
    </row>
    <row r="918" spans="11:15">
      <c r="K918" s="1475">
        <v>42975</v>
      </c>
      <c r="L918" s="1476" t="s">
        <v>2127</v>
      </c>
      <c r="M918" s="1477">
        <v>3.4749000000000002E-2</v>
      </c>
      <c r="N918" s="1478">
        <v>1.3609450345434131</v>
      </c>
      <c r="O918" s="1478">
        <v>1.3848085571562949</v>
      </c>
    </row>
    <row r="919" spans="11:15">
      <c r="K919" s="1475">
        <v>42976</v>
      </c>
      <c r="L919" s="1476" t="s">
        <v>2127</v>
      </c>
      <c r="M919" s="1477">
        <v>3.4749000000000002E-2</v>
      </c>
      <c r="N919" s="1478">
        <v>1.3614179493334666</v>
      </c>
      <c r="O919" s="1478">
        <v>1.3855360109394548</v>
      </c>
    </row>
    <row r="920" spans="11:15">
      <c r="K920" s="1475">
        <v>42977</v>
      </c>
      <c r="L920" s="1476" t="s">
        <v>2127</v>
      </c>
      <c r="M920" s="1477">
        <v>3.4749000000000002E-2</v>
      </c>
      <c r="N920" s="1478">
        <v>1.3618910284566805</v>
      </c>
      <c r="O920" s="1478">
        <v>1.3862638468613613</v>
      </c>
    </row>
    <row r="921" spans="11:15">
      <c r="K921" s="1475">
        <v>42978</v>
      </c>
      <c r="L921" s="1476" t="s">
        <v>2127</v>
      </c>
      <c r="M921" s="1477">
        <v>3.4749000000000002E-2</v>
      </c>
      <c r="N921" s="1478">
        <v>1.362364271970159</v>
      </c>
      <c r="O921" s="1478">
        <v>1.3869920651227561</v>
      </c>
    </row>
    <row r="922" spans="11:15">
      <c r="K922" s="1475">
        <v>42979</v>
      </c>
      <c r="L922" s="1476" t="s">
        <v>2127</v>
      </c>
      <c r="M922" s="1477">
        <v>3.4749000000000002E-2</v>
      </c>
      <c r="N922" s="1478">
        <v>1.3628376799310258</v>
      </c>
      <c r="O922" s="1478">
        <v>1.3877206659244856</v>
      </c>
    </row>
    <row r="923" spans="11:15">
      <c r="K923" s="1475">
        <v>42980</v>
      </c>
      <c r="L923" s="1476"/>
      <c r="M923" s="1477">
        <v>0</v>
      </c>
      <c r="N923" s="1478">
        <v>1.3628376799310258</v>
      </c>
      <c r="O923" s="1478">
        <v>1.3877206659244856</v>
      </c>
    </row>
    <row r="924" spans="11:15">
      <c r="K924" s="1475">
        <v>42981</v>
      </c>
      <c r="L924" s="1476"/>
      <c r="M924" s="1477">
        <v>0</v>
      </c>
      <c r="N924" s="1478">
        <v>1.3628376799310258</v>
      </c>
      <c r="O924" s="1478">
        <v>1.3877206659244856</v>
      </c>
    </row>
    <row r="925" spans="11:15">
      <c r="K925" s="1475">
        <v>42982</v>
      </c>
      <c r="L925" s="1476" t="s">
        <v>2127</v>
      </c>
      <c r="M925" s="1477">
        <v>3.4749000000000002E-2</v>
      </c>
      <c r="N925" s="1478">
        <v>1.363311252396425</v>
      </c>
      <c r="O925" s="1478">
        <v>1.3884496494675025</v>
      </c>
    </row>
    <row r="926" spans="11:15">
      <c r="K926" s="1475">
        <v>42983</v>
      </c>
      <c r="L926" s="1476" t="s">
        <v>2127</v>
      </c>
      <c r="M926" s="1477">
        <v>3.4749000000000002E-2</v>
      </c>
      <c r="N926" s="1478">
        <v>1.3637849894235203</v>
      </c>
      <c r="O926" s="1478">
        <v>1.3891790159528643</v>
      </c>
    </row>
    <row r="927" spans="11:15">
      <c r="K927" s="1475">
        <v>42984</v>
      </c>
      <c r="L927" s="1476" t="s">
        <v>2127</v>
      </c>
      <c r="M927" s="1477">
        <v>3.4749000000000002E-2</v>
      </c>
      <c r="N927" s="1478">
        <v>1.364258891069495</v>
      </c>
      <c r="O927" s="1478">
        <v>1.3899087655817346</v>
      </c>
    </row>
    <row r="928" spans="11:15">
      <c r="K928" s="1475">
        <v>42985</v>
      </c>
      <c r="L928" s="1476"/>
      <c r="M928" s="1477">
        <v>0</v>
      </c>
      <c r="N928" s="1478">
        <v>1.364258891069495</v>
      </c>
      <c r="O928" s="1478">
        <v>1.3899087655817346</v>
      </c>
    </row>
    <row r="929" spans="11:15">
      <c r="K929" s="1475">
        <v>42986</v>
      </c>
      <c r="L929" s="1476" t="s">
        <v>2127</v>
      </c>
      <c r="M929" s="1477">
        <v>3.1095999999999999E-2</v>
      </c>
      <c r="N929" s="1478">
        <v>1.364683121014262</v>
      </c>
      <c r="O929" s="1478">
        <v>1.3906388985553824</v>
      </c>
    </row>
    <row r="930" spans="11:15">
      <c r="K930" s="1475">
        <v>42987</v>
      </c>
      <c r="L930" s="1476"/>
      <c r="M930" s="1477">
        <v>0</v>
      </c>
      <c r="N930" s="1478">
        <v>1.364683121014262</v>
      </c>
      <c r="O930" s="1478">
        <v>1.3906388985553824</v>
      </c>
    </row>
    <row r="931" spans="11:15">
      <c r="K931" s="1475">
        <v>42988</v>
      </c>
      <c r="L931" s="1476"/>
      <c r="M931" s="1477">
        <v>0</v>
      </c>
      <c r="N931" s="1478">
        <v>1.364683121014262</v>
      </c>
      <c r="O931" s="1478">
        <v>1.3906388985553824</v>
      </c>
    </row>
    <row r="932" spans="11:15">
      <c r="K932" s="1475">
        <v>42989</v>
      </c>
      <c r="L932" s="1476" t="s">
        <v>2127</v>
      </c>
      <c r="M932" s="1477">
        <v>3.1095999999999999E-2</v>
      </c>
      <c r="N932" s="1478">
        <v>1.3651074828775727</v>
      </c>
      <c r="O932" s="1478">
        <v>1.3913694150751825</v>
      </c>
    </row>
    <row r="933" spans="11:15">
      <c r="K933" s="1475">
        <v>42990</v>
      </c>
      <c r="L933" s="1476" t="s">
        <v>2127</v>
      </c>
      <c r="M933" s="1477">
        <v>3.1095999999999999E-2</v>
      </c>
      <c r="N933" s="1478">
        <v>1.3655319767004481</v>
      </c>
      <c r="O933" s="1478">
        <v>1.3921003153426157</v>
      </c>
    </row>
    <row r="934" spans="11:15">
      <c r="K934" s="1475">
        <v>42991</v>
      </c>
      <c r="L934" s="1476" t="s">
        <v>2127</v>
      </c>
      <c r="M934" s="1477">
        <v>3.1095999999999999E-2</v>
      </c>
      <c r="N934" s="1478">
        <v>1.3659566025239229</v>
      </c>
      <c r="O934" s="1478">
        <v>1.3928315995592684</v>
      </c>
    </row>
    <row r="935" spans="11:15">
      <c r="K935" s="1475">
        <v>42992</v>
      </c>
      <c r="L935" s="1476" t="s">
        <v>2127</v>
      </c>
      <c r="M935" s="1477">
        <v>3.1095999999999999E-2</v>
      </c>
      <c r="N935" s="1478">
        <v>1.3663813603890438</v>
      </c>
      <c r="O935" s="1478">
        <v>1.3935632679268328</v>
      </c>
    </row>
    <row r="936" spans="11:15">
      <c r="K936" s="1475">
        <v>42993</v>
      </c>
      <c r="L936" s="1476" t="s">
        <v>2127</v>
      </c>
      <c r="M936" s="1477">
        <v>3.1095999999999999E-2</v>
      </c>
      <c r="N936" s="1478">
        <v>1.3668062503368703</v>
      </c>
      <c r="O936" s="1478">
        <v>1.3942953206471074</v>
      </c>
    </row>
    <row r="937" spans="11:15">
      <c r="K937" s="1475">
        <v>42994</v>
      </c>
      <c r="L937" s="1476"/>
      <c r="M937" s="1477">
        <v>0</v>
      </c>
      <c r="N937" s="1478">
        <v>1.3668062503368703</v>
      </c>
      <c r="O937" s="1478">
        <v>1.3942953206471074</v>
      </c>
    </row>
    <row r="938" spans="11:15">
      <c r="K938" s="1475">
        <v>42995</v>
      </c>
      <c r="L938" s="1476"/>
      <c r="M938" s="1477">
        <v>0</v>
      </c>
      <c r="N938" s="1478">
        <v>1.3668062503368703</v>
      </c>
      <c r="O938" s="1478">
        <v>1.3942953206471074</v>
      </c>
    </row>
    <row r="939" spans="11:15">
      <c r="K939" s="1475">
        <v>42996</v>
      </c>
      <c r="L939" s="1476" t="s">
        <v>2127</v>
      </c>
      <c r="M939" s="1477">
        <v>3.1095999999999999E-2</v>
      </c>
      <c r="N939" s="1478">
        <v>1.367231272408475</v>
      </c>
      <c r="O939" s="1478">
        <v>1.3950277579219965</v>
      </c>
    </row>
    <row r="940" spans="11:15">
      <c r="K940" s="1475">
        <v>42997</v>
      </c>
      <c r="L940" s="1476" t="s">
        <v>2127</v>
      </c>
      <c r="M940" s="1477">
        <v>3.1095999999999999E-2</v>
      </c>
      <c r="N940" s="1478">
        <v>1.3676564266449431</v>
      </c>
      <c r="O940" s="1478">
        <v>1.3957605799535104</v>
      </c>
    </row>
    <row r="941" spans="11:15">
      <c r="K941" s="1475">
        <v>42998</v>
      </c>
      <c r="L941" s="1476" t="s">
        <v>2127</v>
      </c>
      <c r="M941" s="1477">
        <v>3.1095999999999999E-2</v>
      </c>
      <c r="N941" s="1478">
        <v>1.3680817130873726</v>
      </c>
      <c r="O941" s="1478">
        <v>1.3964937869437659</v>
      </c>
    </row>
    <row r="942" spans="11:15">
      <c r="K942" s="1475">
        <v>42999</v>
      </c>
      <c r="L942" s="1476" t="s">
        <v>2127</v>
      </c>
      <c r="M942" s="1477">
        <v>3.1095999999999999E-2</v>
      </c>
      <c r="N942" s="1478">
        <v>1.3685071317768742</v>
      </c>
      <c r="O942" s="1478">
        <v>1.3972273790949854</v>
      </c>
    </row>
    <row r="943" spans="11:15">
      <c r="K943" s="1475">
        <v>43000</v>
      </c>
      <c r="L943" s="1476" t="s">
        <v>2127</v>
      </c>
      <c r="M943" s="1477">
        <v>3.1095999999999999E-2</v>
      </c>
      <c r="N943" s="1478">
        <v>1.3689326827545716</v>
      </c>
      <c r="O943" s="1478">
        <v>1.3979613566094977</v>
      </c>
    </row>
    <row r="944" spans="11:15">
      <c r="K944" s="1475">
        <v>43001</v>
      </c>
      <c r="L944" s="1476"/>
      <c r="M944" s="1477">
        <v>0</v>
      </c>
      <c r="N944" s="1478">
        <v>1.3689326827545716</v>
      </c>
      <c r="O944" s="1478">
        <v>1.3979613566094977</v>
      </c>
    </row>
    <row r="945" spans="11:15">
      <c r="K945" s="1475">
        <v>43002</v>
      </c>
      <c r="L945" s="1476"/>
      <c r="M945" s="1477">
        <v>0</v>
      </c>
      <c r="N945" s="1478">
        <v>1.3689326827545716</v>
      </c>
      <c r="O945" s="1478">
        <v>1.3979613566094977</v>
      </c>
    </row>
    <row r="946" spans="11:15">
      <c r="K946" s="1475">
        <v>43003</v>
      </c>
      <c r="L946" s="1476" t="s">
        <v>2127</v>
      </c>
      <c r="M946" s="1477">
        <v>3.1095999999999999E-2</v>
      </c>
      <c r="N946" s="1478">
        <v>1.3693583660616009</v>
      </c>
      <c r="O946" s="1478">
        <v>1.3986957196897383</v>
      </c>
    </row>
    <row r="947" spans="11:15">
      <c r="K947" s="1475">
        <v>43004</v>
      </c>
      <c r="L947" s="1476" t="s">
        <v>2127</v>
      </c>
      <c r="M947" s="1477">
        <v>3.1095999999999999E-2</v>
      </c>
      <c r="N947" s="1478">
        <v>1.3697841817391114</v>
      </c>
      <c r="O947" s="1478">
        <v>1.3994304685382486</v>
      </c>
    </row>
    <row r="948" spans="11:15">
      <c r="K948" s="1475">
        <v>43005</v>
      </c>
      <c r="L948" s="1476" t="s">
        <v>2127</v>
      </c>
      <c r="M948" s="1477">
        <v>3.1095999999999999E-2</v>
      </c>
      <c r="N948" s="1478">
        <v>1.370210129828265</v>
      </c>
      <c r="O948" s="1478">
        <v>1.4001656033576764</v>
      </c>
    </row>
    <row r="949" spans="11:15">
      <c r="K949" s="1475">
        <v>43006</v>
      </c>
      <c r="L949" s="1476" t="s">
        <v>2127</v>
      </c>
      <c r="M949" s="1477">
        <v>3.1095999999999999E-2</v>
      </c>
      <c r="N949" s="1478">
        <v>1.3706362103702363</v>
      </c>
      <c r="O949" s="1478">
        <v>1.4009011243507763</v>
      </c>
    </row>
    <row r="950" spans="11:15">
      <c r="K950" s="1475">
        <v>43007</v>
      </c>
      <c r="L950" s="1476" t="s">
        <v>2127</v>
      </c>
      <c r="M950" s="1477">
        <v>3.1095999999999999E-2</v>
      </c>
      <c r="N950" s="1478">
        <v>1.371062423406213</v>
      </c>
      <c r="O950" s="1478">
        <v>1.401637031720409</v>
      </c>
    </row>
    <row r="951" spans="11:15">
      <c r="K951" s="1475">
        <v>43008</v>
      </c>
      <c r="L951" s="1476"/>
      <c r="M951" s="1477">
        <v>0</v>
      </c>
      <c r="N951" s="1478">
        <v>1.371062423406213</v>
      </c>
      <c r="O951" s="1478">
        <v>1.401637031720409</v>
      </c>
    </row>
    <row r="952" spans="11:15">
      <c r="K952" s="1475">
        <v>43009</v>
      </c>
      <c r="L952" s="1476"/>
      <c r="M952" s="1477">
        <v>0</v>
      </c>
      <c r="N952" s="1478">
        <v>1.371062423406213</v>
      </c>
      <c r="O952" s="1478">
        <v>1.401637031720409</v>
      </c>
    </row>
    <row r="953" spans="11:15">
      <c r="K953" s="1475">
        <v>43010</v>
      </c>
      <c r="L953" s="1476" t="s">
        <v>2127</v>
      </c>
      <c r="M953" s="1477">
        <v>3.1095999999999999E-2</v>
      </c>
      <c r="N953" s="1478">
        <v>1.3714887689773954</v>
      </c>
      <c r="O953" s="1478">
        <v>1.4023733256695421</v>
      </c>
    </row>
    <row r="954" spans="11:15">
      <c r="K954" s="1475">
        <v>43011</v>
      </c>
      <c r="L954" s="1476" t="s">
        <v>2127</v>
      </c>
      <c r="M954" s="1477">
        <v>3.1095999999999999E-2</v>
      </c>
      <c r="N954" s="1478">
        <v>1.3719152471249965</v>
      </c>
      <c r="O954" s="1478">
        <v>1.4031100064012496</v>
      </c>
    </row>
    <row r="955" spans="11:15">
      <c r="K955" s="1475">
        <v>43012</v>
      </c>
      <c r="L955" s="1476" t="s">
        <v>2127</v>
      </c>
      <c r="M955" s="1477">
        <v>3.1095999999999999E-2</v>
      </c>
      <c r="N955" s="1478">
        <v>1.3723418578902424</v>
      </c>
      <c r="O955" s="1478">
        <v>1.4038470741187123</v>
      </c>
    </row>
    <row r="956" spans="11:15">
      <c r="K956" s="1475">
        <v>43013</v>
      </c>
      <c r="L956" s="1476" t="s">
        <v>2127</v>
      </c>
      <c r="M956" s="1477">
        <v>3.1095999999999999E-2</v>
      </c>
      <c r="N956" s="1478">
        <v>1.3727686013143718</v>
      </c>
      <c r="O956" s="1478">
        <v>1.4045845290252177</v>
      </c>
    </row>
    <row r="957" spans="11:15">
      <c r="K957" s="1475">
        <v>43014</v>
      </c>
      <c r="L957" s="1476" t="s">
        <v>2127</v>
      </c>
      <c r="M957" s="1477">
        <v>3.1095999999999999E-2</v>
      </c>
      <c r="N957" s="1478">
        <v>1.3731954774386366</v>
      </c>
      <c r="O957" s="1478">
        <v>1.4053223713241598</v>
      </c>
    </row>
    <row r="958" spans="11:15">
      <c r="K958" s="1475">
        <v>43015</v>
      </c>
      <c r="L958" s="1476"/>
      <c r="M958" s="1477">
        <v>0</v>
      </c>
      <c r="N958" s="1478">
        <v>1.3731954774386366</v>
      </c>
      <c r="O958" s="1478">
        <v>1.4053223713241598</v>
      </c>
    </row>
    <row r="959" spans="11:15">
      <c r="K959" s="1475">
        <v>43016</v>
      </c>
      <c r="L959" s="1476"/>
      <c r="M959" s="1477">
        <v>0</v>
      </c>
      <c r="N959" s="1478">
        <v>1.3731954774386366</v>
      </c>
      <c r="O959" s="1478">
        <v>1.4053223713241598</v>
      </c>
    </row>
    <row r="960" spans="11:15">
      <c r="K960" s="1475">
        <v>43017</v>
      </c>
      <c r="L960" s="1476" t="s">
        <v>2127</v>
      </c>
      <c r="M960" s="1477">
        <v>3.1095999999999999E-2</v>
      </c>
      <c r="N960" s="1478">
        <v>1.3736224863043009</v>
      </c>
      <c r="O960" s="1478">
        <v>1.4060606012190402</v>
      </c>
    </row>
    <row r="961" spans="11:15">
      <c r="K961" s="1475">
        <v>43018</v>
      </c>
      <c r="L961" s="1476" t="s">
        <v>2127</v>
      </c>
      <c r="M961" s="1477">
        <v>3.1095999999999999E-2</v>
      </c>
      <c r="N961" s="1478">
        <v>1.3740496279526422</v>
      </c>
      <c r="O961" s="1478">
        <v>1.4067992189134666</v>
      </c>
    </row>
    <row r="962" spans="11:15">
      <c r="K962" s="1475">
        <v>43019</v>
      </c>
      <c r="L962" s="1476" t="s">
        <v>2127</v>
      </c>
      <c r="M962" s="1477">
        <v>3.1095999999999999E-2</v>
      </c>
      <c r="N962" s="1478">
        <v>1.3744769024249504</v>
      </c>
      <c r="O962" s="1478">
        <v>1.4075382246111541</v>
      </c>
    </row>
    <row r="963" spans="11:15">
      <c r="K963" s="1475">
        <v>43020</v>
      </c>
      <c r="L963" s="1476"/>
      <c r="M963" s="1477">
        <v>0</v>
      </c>
      <c r="N963" s="1478">
        <v>1.3744769024249504</v>
      </c>
      <c r="O963" s="1478">
        <v>1.4075382246111541</v>
      </c>
    </row>
    <row r="964" spans="11:15">
      <c r="K964" s="1475">
        <v>43021</v>
      </c>
      <c r="L964" s="1476" t="s">
        <v>2127</v>
      </c>
      <c r="M964" s="1477">
        <v>3.1095999999999999E-2</v>
      </c>
      <c r="N964" s="1478">
        <v>1.3749043097625284</v>
      </c>
      <c r="O964" s="1478">
        <v>1.4082776185159245</v>
      </c>
    </row>
    <row r="965" spans="11:15">
      <c r="K965" s="1475">
        <v>43022</v>
      </c>
      <c r="L965" s="1476"/>
      <c r="M965" s="1477">
        <v>0</v>
      </c>
      <c r="N965" s="1478">
        <v>1.3749043097625284</v>
      </c>
      <c r="O965" s="1478">
        <v>1.4082776185159245</v>
      </c>
    </row>
    <row r="966" spans="11:15">
      <c r="K966" s="1475">
        <v>43023</v>
      </c>
      <c r="L966" s="1476"/>
      <c r="M966" s="1477">
        <v>0</v>
      </c>
      <c r="N966" s="1478">
        <v>1.3749043097625284</v>
      </c>
      <c r="O966" s="1478">
        <v>1.4082776185159245</v>
      </c>
    </row>
    <row r="967" spans="11:15">
      <c r="K967" s="1475">
        <v>43024</v>
      </c>
      <c r="L967" s="1476" t="s">
        <v>2127</v>
      </c>
      <c r="M967" s="1477">
        <v>3.1095999999999999E-2</v>
      </c>
      <c r="N967" s="1478">
        <v>1.3753318500066922</v>
      </c>
      <c r="O967" s="1478">
        <v>1.4090174008317071</v>
      </c>
    </row>
    <row r="968" spans="11:15">
      <c r="K968" s="1475">
        <v>43025</v>
      </c>
      <c r="L968" s="1476" t="s">
        <v>2127</v>
      </c>
      <c r="M968" s="1477">
        <v>3.1095999999999999E-2</v>
      </c>
      <c r="N968" s="1478">
        <v>1.3757595231987703</v>
      </c>
      <c r="O968" s="1478">
        <v>1.4097575717625381</v>
      </c>
    </row>
    <row r="969" spans="11:15">
      <c r="K969" s="1475">
        <v>43026</v>
      </c>
      <c r="L969" s="1476" t="s">
        <v>2127</v>
      </c>
      <c r="M969" s="1477">
        <v>3.1095999999999999E-2</v>
      </c>
      <c r="N969" s="1478">
        <v>1.3761873293801041</v>
      </c>
      <c r="O969" s="1478">
        <v>1.4104981315125606</v>
      </c>
    </row>
    <row r="970" spans="11:15">
      <c r="K970" s="1475">
        <v>43027</v>
      </c>
      <c r="L970" s="1476" t="s">
        <v>2127</v>
      </c>
      <c r="M970" s="1477">
        <v>3.1095999999999999E-2</v>
      </c>
      <c r="N970" s="1478">
        <v>1.3766152685920481</v>
      </c>
      <c r="O970" s="1478">
        <v>1.4112390802860255</v>
      </c>
    </row>
    <row r="971" spans="11:15">
      <c r="K971" s="1475">
        <v>43028</v>
      </c>
      <c r="L971" s="1476" t="s">
        <v>2127</v>
      </c>
      <c r="M971" s="1477">
        <v>3.1095999999999999E-2</v>
      </c>
      <c r="N971" s="1478">
        <v>1.3770433408759695</v>
      </c>
      <c r="O971" s="1478">
        <v>1.4119804182872906</v>
      </c>
    </row>
    <row r="972" spans="11:15">
      <c r="K972" s="1475">
        <v>43029</v>
      </c>
      <c r="L972" s="1476"/>
      <c r="M972" s="1477">
        <v>0</v>
      </c>
      <c r="N972" s="1478">
        <v>1.3770433408759695</v>
      </c>
      <c r="O972" s="1478">
        <v>1.4119804182872906</v>
      </c>
    </row>
    <row r="973" spans="11:15">
      <c r="K973" s="1475">
        <v>43030</v>
      </c>
      <c r="L973" s="1476"/>
      <c r="M973" s="1477">
        <v>0</v>
      </c>
      <c r="N973" s="1478">
        <v>1.3770433408759695</v>
      </c>
      <c r="O973" s="1478">
        <v>1.4119804182872906</v>
      </c>
    </row>
    <row r="974" spans="11:15">
      <c r="K974" s="1475">
        <v>43031</v>
      </c>
      <c r="L974" s="1476" t="s">
        <v>2127</v>
      </c>
      <c r="M974" s="1477">
        <v>3.1095999999999999E-2</v>
      </c>
      <c r="N974" s="1478">
        <v>1.3774715462732483</v>
      </c>
      <c r="O974" s="1478">
        <v>1.412722145720821</v>
      </c>
    </row>
    <row r="975" spans="11:15">
      <c r="K975" s="1475">
        <v>43032</v>
      </c>
      <c r="L975" s="1476" t="s">
        <v>2127</v>
      </c>
      <c r="M975" s="1477">
        <v>3.1095999999999999E-2</v>
      </c>
      <c r="N975" s="1478">
        <v>1.3778998848252775</v>
      </c>
      <c r="O975" s="1478">
        <v>1.4134642627911895</v>
      </c>
    </row>
    <row r="976" spans="11:15">
      <c r="K976" s="1475">
        <v>43033</v>
      </c>
      <c r="L976" s="1476" t="s">
        <v>2127</v>
      </c>
      <c r="M976" s="1477">
        <v>3.1095999999999999E-2</v>
      </c>
      <c r="N976" s="1478">
        <v>1.3783283565734628</v>
      </c>
      <c r="O976" s="1478">
        <v>1.4142067697030765</v>
      </c>
    </row>
    <row r="977" spans="11:15">
      <c r="K977" s="1475">
        <v>43034</v>
      </c>
      <c r="L977" s="1476" t="s">
        <v>2127</v>
      </c>
      <c r="M977" s="1477">
        <v>2.8333000000000001E-2</v>
      </c>
      <c r="N977" s="1478">
        <v>1.3787188783467308</v>
      </c>
      <c r="O977" s="1478">
        <v>1.4149496666612691</v>
      </c>
    </row>
    <row r="978" spans="11:15">
      <c r="K978" s="1475">
        <v>43035</v>
      </c>
      <c r="L978" s="1476" t="s">
        <v>2127</v>
      </c>
      <c r="M978" s="1477">
        <v>2.8333000000000001E-2</v>
      </c>
      <c r="N978" s="1478">
        <v>1.3791095107665328</v>
      </c>
      <c r="O978" s="1478">
        <v>1.4156929538706629</v>
      </c>
    </row>
    <row r="979" spans="11:15">
      <c r="K979" s="1475">
        <v>43036</v>
      </c>
      <c r="L979" s="1476"/>
      <c r="M979" s="1477">
        <v>0</v>
      </c>
      <c r="N979" s="1478">
        <v>1.3791095107665328</v>
      </c>
      <c r="O979" s="1478">
        <v>1.4156929538706629</v>
      </c>
    </row>
    <row r="980" spans="11:15">
      <c r="K980" s="1475">
        <v>43037</v>
      </c>
      <c r="L980" s="1476"/>
      <c r="M980" s="1477">
        <v>0</v>
      </c>
      <c r="N980" s="1478">
        <v>1.3791095107665328</v>
      </c>
      <c r="O980" s="1478">
        <v>1.4156929538706629</v>
      </c>
    </row>
    <row r="981" spans="11:15">
      <c r="K981" s="1475">
        <v>43038</v>
      </c>
      <c r="L981" s="1476" t="s">
        <v>2127</v>
      </c>
      <c r="M981" s="1477">
        <v>2.8333000000000001E-2</v>
      </c>
      <c r="N981" s="1478">
        <v>1.3795002538642183</v>
      </c>
      <c r="O981" s="1478">
        <v>1.4164366315362606</v>
      </c>
    </row>
    <row r="982" spans="11:15">
      <c r="K982" s="1475">
        <v>43039</v>
      </c>
      <c r="L982" s="1476" t="s">
        <v>2127</v>
      </c>
      <c r="M982" s="1477">
        <v>2.8333000000000001E-2</v>
      </c>
      <c r="N982" s="1478">
        <v>1.3798911076711458</v>
      </c>
      <c r="O982" s="1478">
        <v>1.4171806998631729</v>
      </c>
    </row>
    <row r="983" spans="11:15">
      <c r="K983" s="1475">
        <v>43040</v>
      </c>
      <c r="L983" s="1476" t="s">
        <v>2127</v>
      </c>
      <c r="M983" s="1477">
        <v>2.8333000000000001E-2</v>
      </c>
      <c r="N983" s="1478">
        <v>1.3802820722186822</v>
      </c>
      <c r="O983" s="1478">
        <v>1.417925159056618</v>
      </c>
    </row>
    <row r="984" spans="11:15">
      <c r="K984" s="1475">
        <v>43041</v>
      </c>
      <c r="L984" s="1476"/>
      <c r="M984" s="1477">
        <v>0</v>
      </c>
      <c r="N984" s="1478">
        <v>1.3802820722186822</v>
      </c>
      <c r="O984" s="1478">
        <v>1.417925159056618</v>
      </c>
    </row>
    <row r="985" spans="11:15">
      <c r="K985" s="1475">
        <v>43042</v>
      </c>
      <c r="L985" s="1476" t="s">
        <v>2127</v>
      </c>
      <c r="M985" s="1477">
        <v>2.8333000000000001E-2</v>
      </c>
      <c r="N985" s="1478">
        <v>1.3806731475382039</v>
      </c>
      <c r="O985" s="1478">
        <v>1.418670009321922</v>
      </c>
    </row>
    <row r="986" spans="11:15">
      <c r="K986" s="1475">
        <v>43043</v>
      </c>
      <c r="L986" s="1476"/>
      <c r="M986" s="1477">
        <v>0</v>
      </c>
      <c r="N986" s="1478">
        <v>1.3806731475382039</v>
      </c>
      <c r="O986" s="1478">
        <v>1.418670009321922</v>
      </c>
    </row>
    <row r="987" spans="11:15">
      <c r="K987" s="1475">
        <v>43044</v>
      </c>
      <c r="L987" s="1476"/>
      <c r="M987" s="1477">
        <v>0</v>
      </c>
      <c r="N987" s="1478">
        <v>1.3806731475382039</v>
      </c>
      <c r="O987" s="1478">
        <v>1.418670009321922</v>
      </c>
    </row>
    <row r="988" spans="11:15">
      <c r="K988" s="1475">
        <v>43045</v>
      </c>
      <c r="L988" s="1476" t="s">
        <v>2127</v>
      </c>
      <c r="M988" s="1477">
        <v>2.8333000000000001E-2</v>
      </c>
      <c r="N988" s="1478">
        <v>1.3810643336610959</v>
      </c>
      <c r="O988" s="1478">
        <v>1.4194152508645188</v>
      </c>
    </row>
    <row r="989" spans="11:15">
      <c r="K989" s="1475">
        <v>43046</v>
      </c>
      <c r="L989" s="1476" t="s">
        <v>2127</v>
      </c>
      <c r="M989" s="1477">
        <v>2.8333000000000001E-2</v>
      </c>
      <c r="N989" s="1478">
        <v>1.3814556306187522</v>
      </c>
      <c r="O989" s="1478">
        <v>1.4201608838899504</v>
      </c>
    </row>
    <row r="990" spans="11:15">
      <c r="K990" s="1475">
        <v>43047</v>
      </c>
      <c r="L990" s="1476" t="s">
        <v>2127</v>
      </c>
      <c r="M990" s="1477">
        <v>2.8333000000000001E-2</v>
      </c>
      <c r="N990" s="1478">
        <v>1.3818470384425754</v>
      </c>
      <c r="O990" s="1478">
        <v>1.4209069086038666</v>
      </c>
    </row>
    <row r="991" spans="11:15">
      <c r="K991" s="1475">
        <v>43048</v>
      </c>
      <c r="L991" s="1476" t="s">
        <v>2127</v>
      </c>
      <c r="M991" s="1477">
        <v>2.8333000000000001E-2</v>
      </c>
      <c r="N991" s="1478">
        <v>1.3822385571639773</v>
      </c>
      <c r="O991" s="1478">
        <v>1.4216533252120254</v>
      </c>
    </row>
    <row r="992" spans="11:15">
      <c r="K992" s="1475">
        <v>43049</v>
      </c>
      <c r="L992" s="1476" t="s">
        <v>2127</v>
      </c>
      <c r="M992" s="1477">
        <v>2.8333000000000001E-2</v>
      </c>
      <c r="N992" s="1478">
        <v>1.3826301868143787</v>
      </c>
      <c r="O992" s="1478">
        <v>1.4224001339202925</v>
      </c>
    </row>
    <row r="993" spans="11:15">
      <c r="K993" s="1475">
        <v>43050</v>
      </c>
      <c r="L993" s="1476"/>
      <c r="M993" s="1477">
        <v>0</v>
      </c>
      <c r="N993" s="1478">
        <v>1.3826301868143787</v>
      </c>
      <c r="O993" s="1478">
        <v>1.4224001339202925</v>
      </c>
    </row>
    <row r="994" spans="11:15">
      <c r="K994" s="1475">
        <v>43051</v>
      </c>
      <c r="L994" s="1476"/>
      <c r="M994" s="1477">
        <v>0</v>
      </c>
      <c r="N994" s="1478">
        <v>1.3826301868143787</v>
      </c>
      <c r="O994" s="1478">
        <v>1.4224001339202925</v>
      </c>
    </row>
    <row r="995" spans="11:15">
      <c r="K995" s="1475">
        <v>43052</v>
      </c>
      <c r="L995" s="1476" t="s">
        <v>2127</v>
      </c>
      <c r="M995" s="1477">
        <v>2.8333000000000001E-2</v>
      </c>
      <c r="N995" s="1478">
        <v>1.3830219274252089</v>
      </c>
      <c r="O995" s="1478">
        <v>1.4231473349346422</v>
      </c>
    </row>
    <row r="996" spans="11:15">
      <c r="K996" s="1475">
        <v>43053</v>
      </c>
      <c r="L996" s="1476" t="s">
        <v>2127</v>
      </c>
      <c r="M996" s="1477">
        <v>2.8333000000000001E-2</v>
      </c>
      <c r="N996" s="1478">
        <v>1.3834137790279064</v>
      </c>
      <c r="O996" s="1478">
        <v>1.4238949284611566</v>
      </c>
    </row>
    <row r="997" spans="11:15">
      <c r="K997" s="1475">
        <v>43054</v>
      </c>
      <c r="L997" s="1476"/>
      <c r="M997" s="1477">
        <v>0</v>
      </c>
      <c r="N997" s="1478">
        <v>1.3834137790279064</v>
      </c>
      <c r="O997" s="1478">
        <v>1.4238949284611566</v>
      </c>
    </row>
    <row r="998" spans="11:15">
      <c r="K998" s="1475">
        <v>43055</v>
      </c>
      <c r="L998" s="1476" t="s">
        <v>2127</v>
      </c>
      <c r="M998" s="1477">
        <v>2.8333000000000001E-2</v>
      </c>
      <c r="N998" s="1478">
        <v>1.3838057416539185</v>
      </c>
      <c r="O998" s="1478">
        <v>1.4246429147060264</v>
      </c>
    </row>
    <row r="999" spans="11:15">
      <c r="K999" s="1475">
        <v>43056</v>
      </c>
      <c r="L999" s="1476" t="s">
        <v>2127</v>
      </c>
      <c r="M999" s="1477">
        <v>2.8333000000000001E-2</v>
      </c>
      <c r="N999" s="1478">
        <v>1.3841978153347012</v>
      </c>
      <c r="O999" s="1478">
        <v>1.4253912938755506</v>
      </c>
    </row>
    <row r="1000" spans="11:15">
      <c r="K1000" s="1475">
        <v>43057</v>
      </c>
      <c r="L1000" s="1476"/>
      <c r="M1000" s="1477">
        <v>0</v>
      </c>
      <c r="N1000" s="1478">
        <v>1.3841978153347012</v>
      </c>
      <c r="O1000" s="1478">
        <v>1.4253912938755506</v>
      </c>
    </row>
    <row r="1001" spans="11:15">
      <c r="K1001" s="1475">
        <v>43058</v>
      </c>
      <c r="L1001" s="1476"/>
      <c r="M1001" s="1477">
        <v>0</v>
      </c>
      <c r="N1001" s="1478">
        <v>1.3841978153347012</v>
      </c>
      <c r="O1001" s="1478">
        <v>1.4253912938755506</v>
      </c>
    </row>
    <row r="1002" spans="11:15">
      <c r="K1002" s="1475">
        <v>43059</v>
      </c>
      <c r="L1002" s="1476" t="s">
        <v>2127</v>
      </c>
      <c r="M1002" s="1477">
        <v>2.8333000000000001E-2</v>
      </c>
      <c r="N1002" s="1478">
        <v>1.38459000010172</v>
      </c>
      <c r="O1002" s="1478">
        <v>1.4261400661761363</v>
      </c>
    </row>
    <row r="1003" spans="11:15">
      <c r="K1003" s="1475">
        <v>43060</v>
      </c>
      <c r="L1003" s="1476" t="s">
        <v>2127</v>
      </c>
      <c r="M1003" s="1477">
        <v>2.8333000000000001E-2</v>
      </c>
      <c r="N1003" s="1478">
        <v>1.3849822959864488</v>
      </c>
      <c r="O1003" s="1478">
        <v>1.4268892318142994</v>
      </c>
    </row>
    <row r="1004" spans="11:15">
      <c r="K1004" s="1475">
        <v>43061</v>
      </c>
      <c r="L1004" s="1476" t="s">
        <v>2127</v>
      </c>
      <c r="M1004" s="1477">
        <v>2.8333000000000001E-2</v>
      </c>
      <c r="N1004" s="1478">
        <v>1.3853747030203707</v>
      </c>
      <c r="O1004" s="1478">
        <v>1.4276387909966637</v>
      </c>
    </row>
    <row r="1005" spans="11:15">
      <c r="K1005" s="1475">
        <v>43062</v>
      </c>
      <c r="L1005" s="1476" t="s">
        <v>2127</v>
      </c>
      <c r="M1005" s="1477">
        <v>2.8333000000000001E-2</v>
      </c>
      <c r="N1005" s="1478">
        <v>1.3857672212349774</v>
      </c>
      <c r="O1005" s="1478">
        <v>1.4283887439299621</v>
      </c>
    </row>
    <row r="1006" spans="11:15">
      <c r="K1006" s="1475">
        <v>43063</v>
      </c>
      <c r="L1006" s="1476" t="s">
        <v>2127</v>
      </c>
      <c r="M1006" s="1477">
        <v>2.8333000000000001E-2</v>
      </c>
      <c r="N1006" s="1478">
        <v>1.3861598506617701</v>
      </c>
      <c r="O1006" s="1478">
        <v>1.429139090821036</v>
      </c>
    </row>
    <row r="1007" spans="11:15">
      <c r="K1007" s="1475">
        <v>43064</v>
      </c>
      <c r="L1007" s="1476"/>
      <c r="M1007" s="1477">
        <v>0</v>
      </c>
      <c r="N1007" s="1478">
        <v>1.3861598506617701</v>
      </c>
      <c r="O1007" s="1478">
        <v>1.429139090821036</v>
      </c>
    </row>
    <row r="1008" spans="11:15">
      <c r="K1008" s="1475">
        <v>43065</v>
      </c>
      <c r="L1008" s="1476"/>
      <c r="M1008" s="1477">
        <v>0</v>
      </c>
      <c r="N1008" s="1478">
        <v>1.3861598506617701</v>
      </c>
      <c r="O1008" s="1478">
        <v>1.429139090821036</v>
      </c>
    </row>
    <row r="1009" spans="11:15">
      <c r="K1009" s="1475">
        <v>43066</v>
      </c>
      <c r="L1009" s="1476" t="s">
        <v>2127</v>
      </c>
      <c r="M1009" s="1477">
        <v>2.8333000000000001E-2</v>
      </c>
      <c r="N1009" s="1478">
        <v>1.3865525913322581</v>
      </c>
      <c r="O1009" s="1478">
        <v>1.4298898318768352</v>
      </c>
    </row>
    <row r="1010" spans="11:15">
      <c r="K1010" s="1475">
        <v>43067</v>
      </c>
      <c r="L1010" s="1476" t="s">
        <v>2127</v>
      </c>
      <c r="M1010" s="1477">
        <v>2.8333000000000001E-2</v>
      </c>
      <c r="N1010" s="1478">
        <v>1.3869454432779602</v>
      </c>
      <c r="O1010" s="1478">
        <v>1.4306409673044185</v>
      </c>
    </row>
    <row r="1011" spans="11:15">
      <c r="K1011" s="1475">
        <v>43068</v>
      </c>
      <c r="L1011" s="1476" t="s">
        <v>2127</v>
      </c>
      <c r="M1011" s="1477">
        <v>2.8333000000000001E-2</v>
      </c>
      <c r="N1011" s="1478">
        <v>1.3873384065304042</v>
      </c>
      <c r="O1011" s="1478">
        <v>1.4313924973109531</v>
      </c>
    </row>
    <row r="1012" spans="11:15">
      <c r="K1012" s="1475">
        <v>43069</v>
      </c>
      <c r="L1012" s="1476" t="s">
        <v>2127</v>
      </c>
      <c r="M1012" s="1477">
        <v>2.8333000000000001E-2</v>
      </c>
      <c r="N1012" s="1478">
        <v>1.3877314811211265</v>
      </c>
      <c r="O1012" s="1478">
        <v>1.4321444221037154</v>
      </c>
    </row>
    <row r="1013" spans="11:15">
      <c r="K1013" s="1475">
        <v>43070</v>
      </c>
      <c r="L1013" s="1476" t="s">
        <v>2127</v>
      </c>
      <c r="M1013" s="1477">
        <v>2.8333000000000001E-2</v>
      </c>
      <c r="N1013" s="1478">
        <v>1.3881246670816727</v>
      </c>
      <c r="O1013" s="1478">
        <v>1.4328967418900906</v>
      </c>
    </row>
    <row r="1014" spans="11:15">
      <c r="K1014" s="1475">
        <v>43071</v>
      </c>
      <c r="L1014" s="1476"/>
      <c r="M1014" s="1477">
        <v>0</v>
      </c>
      <c r="N1014" s="1478">
        <v>1.3881246670816727</v>
      </c>
      <c r="O1014" s="1478">
        <v>1.4328967418900906</v>
      </c>
    </row>
    <row r="1015" spans="11:15">
      <c r="K1015" s="1475">
        <v>43072</v>
      </c>
      <c r="L1015" s="1476"/>
      <c r="M1015" s="1477">
        <v>0</v>
      </c>
      <c r="N1015" s="1478">
        <v>1.3881246670816727</v>
      </c>
      <c r="O1015" s="1478">
        <v>1.4328967418900906</v>
      </c>
    </row>
    <row r="1016" spans="11:15">
      <c r="K1016" s="1475">
        <v>43073</v>
      </c>
      <c r="L1016" s="1476" t="s">
        <v>2127</v>
      </c>
      <c r="M1016" s="1477">
        <v>2.8333000000000001E-2</v>
      </c>
      <c r="N1016" s="1478">
        <v>1.388517964443597</v>
      </c>
      <c r="O1016" s="1478">
        <v>1.4336494568775728</v>
      </c>
    </row>
    <row r="1017" spans="11:15">
      <c r="K1017" s="1475">
        <v>43074</v>
      </c>
      <c r="L1017" s="1476" t="s">
        <v>2127</v>
      </c>
      <c r="M1017" s="1477">
        <v>2.8333000000000001E-2</v>
      </c>
      <c r="N1017" s="1478">
        <v>1.3889113732384628</v>
      </c>
      <c r="O1017" s="1478">
        <v>1.4344025672737652</v>
      </c>
    </row>
    <row r="1018" spans="11:15">
      <c r="K1018" s="1475">
        <v>43075</v>
      </c>
      <c r="L1018" s="1476" t="s">
        <v>2127</v>
      </c>
      <c r="M1018" s="1477">
        <v>2.8333000000000001E-2</v>
      </c>
      <c r="N1018" s="1478">
        <v>1.3893048934978425</v>
      </c>
      <c r="O1018" s="1478">
        <v>1.4351560732863797</v>
      </c>
    </row>
    <row r="1019" spans="11:15">
      <c r="K1019" s="1475">
        <v>43076</v>
      </c>
      <c r="L1019" s="1476" t="s">
        <v>2127</v>
      </c>
      <c r="M1019" s="1477">
        <v>2.6481000000000001E-2</v>
      </c>
      <c r="N1019" s="1478">
        <v>1.3896727953266896</v>
      </c>
      <c r="O1019" s="1478">
        <v>1.4359099751232378</v>
      </c>
    </row>
    <row r="1020" spans="11:15">
      <c r="K1020" s="1475">
        <v>43077</v>
      </c>
      <c r="L1020" s="1476" t="s">
        <v>2127</v>
      </c>
      <c r="M1020" s="1477">
        <v>2.6481000000000001E-2</v>
      </c>
      <c r="N1020" s="1478">
        <v>1.39004079457962</v>
      </c>
      <c r="O1020" s="1478">
        <v>1.4366642729922698</v>
      </c>
    </row>
    <row r="1021" spans="11:15">
      <c r="K1021" s="1475">
        <v>43078</v>
      </c>
      <c r="L1021" s="1476"/>
      <c r="M1021" s="1477">
        <v>0</v>
      </c>
      <c r="N1021" s="1478">
        <v>1.39004079457962</v>
      </c>
      <c r="O1021" s="1478">
        <v>1.4366642729922698</v>
      </c>
    </row>
    <row r="1022" spans="11:15">
      <c r="K1022" s="1475">
        <v>43079</v>
      </c>
      <c r="L1022" s="1476"/>
      <c r="M1022" s="1477">
        <v>0</v>
      </c>
      <c r="N1022" s="1478">
        <v>1.39004079457962</v>
      </c>
      <c r="O1022" s="1478">
        <v>1.4366642729922698</v>
      </c>
    </row>
    <row r="1023" spans="11:15">
      <c r="K1023" s="1475">
        <v>43080</v>
      </c>
      <c r="L1023" s="1476" t="s">
        <v>2127</v>
      </c>
      <c r="M1023" s="1477">
        <v>2.6481000000000001E-2</v>
      </c>
      <c r="N1023" s="1478">
        <v>1.3904088912824326</v>
      </c>
      <c r="O1023" s="1478">
        <v>1.4374189671015154</v>
      </c>
    </row>
    <row r="1024" spans="11:15">
      <c r="K1024" s="1475">
        <v>43081</v>
      </c>
      <c r="L1024" s="1476" t="s">
        <v>2127</v>
      </c>
      <c r="M1024" s="1477">
        <v>2.6481000000000001E-2</v>
      </c>
      <c r="N1024" s="1478">
        <v>1.3907770854609331</v>
      </c>
      <c r="O1024" s="1478">
        <v>1.4381740576591235</v>
      </c>
    </row>
    <row r="1025" spans="11:15">
      <c r="K1025" s="1475">
        <v>43082</v>
      </c>
      <c r="L1025" s="1476" t="s">
        <v>2127</v>
      </c>
      <c r="M1025" s="1477">
        <v>2.6481000000000001E-2</v>
      </c>
      <c r="N1025" s="1478">
        <v>1.3911453771409341</v>
      </c>
      <c r="O1025" s="1478">
        <v>1.4389295448733526</v>
      </c>
    </row>
    <row r="1026" spans="11:15">
      <c r="K1026" s="1475">
        <v>43083</v>
      </c>
      <c r="L1026" s="1476" t="s">
        <v>2127</v>
      </c>
      <c r="M1026" s="1477">
        <v>2.6481000000000001E-2</v>
      </c>
      <c r="N1026" s="1478">
        <v>1.3915137663482549</v>
      </c>
      <c r="O1026" s="1478">
        <v>1.43968542895257</v>
      </c>
    </row>
    <row r="1027" spans="11:15">
      <c r="K1027" s="1475">
        <v>43084</v>
      </c>
      <c r="L1027" s="1476" t="s">
        <v>2127</v>
      </c>
      <c r="M1027" s="1477">
        <v>2.6481000000000001E-2</v>
      </c>
      <c r="N1027" s="1478">
        <v>1.3918822531087216</v>
      </c>
      <c r="O1027" s="1478">
        <v>1.4404417101052531</v>
      </c>
    </row>
    <row r="1028" spans="11:15">
      <c r="K1028" s="1475">
        <v>43085</v>
      </c>
      <c r="L1028" s="1476"/>
      <c r="M1028" s="1477">
        <v>0</v>
      </c>
      <c r="N1028" s="1478">
        <v>1.3918822531087216</v>
      </c>
      <c r="O1028" s="1478">
        <v>1.4404417101052531</v>
      </c>
    </row>
    <row r="1029" spans="11:15">
      <c r="K1029" s="1475">
        <v>43086</v>
      </c>
      <c r="L1029" s="1476"/>
      <c r="M1029" s="1477">
        <v>0</v>
      </c>
      <c r="N1029" s="1478">
        <v>1.3918822531087216</v>
      </c>
      <c r="O1029" s="1478">
        <v>1.4404417101052531</v>
      </c>
    </row>
    <row r="1030" spans="11:15">
      <c r="K1030" s="1475">
        <v>43087</v>
      </c>
      <c r="L1030" s="1476" t="s">
        <v>2127</v>
      </c>
      <c r="M1030" s="1477">
        <v>2.6481000000000001E-2</v>
      </c>
      <c r="N1030" s="1478">
        <v>1.3922508374481672</v>
      </c>
      <c r="O1030" s="1478">
        <v>1.4411983885399886</v>
      </c>
    </row>
    <row r="1031" spans="11:15">
      <c r="K1031" s="1475">
        <v>43088</v>
      </c>
      <c r="L1031" s="1476" t="s">
        <v>2127</v>
      </c>
      <c r="M1031" s="1477">
        <v>2.6481000000000001E-2</v>
      </c>
      <c r="N1031" s="1478">
        <v>1.392619519392432</v>
      </c>
      <c r="O1031" s="1478">
        <v>1.4419554644654726</v>
      </c>
    </row>
    <row r="1032" spans="11:15">
      <c r="K1032" s="1475">
        <v>43089</v>
      </c>
      <c r="L1032" s="1476" t="s">
        <v>2127</v>
      </c>
      <c r="M1032" s="1477">
        <v>2.6481000000000001E-2</v>
      </c>
      <c r="N1032" s="1478">
        <v>1.3929882989673623</v>
      </c>
      <c r="O1032" s="1478">
        <v>1.442712938090511</v>
      </c>
    </row>
    <row r="1033" spans="11:15">
      <c r="K1033" s="1475">
        <v>43090</v>
      </c>
      <c r="L1033" s="1476" t="s">
        <v>2127</v>
      </c>
      <c r="M1033" s="1477">
        <v>2.6481000000000001E-2</v>
      </c>
      <c r="N1033" s="1478">
        <v>1.3933571761988119</v>
      </c>
      <c r="O1033" s="1478">
        <v>1.4434708096240194</v>
      </c>
    </row>
    <row r="1034" spans="11:15">
      <c r="K1034" s="1475">
        <v>43091</v>
      </c>
      <c r="L1034" s="1476" t="s">
        <v>2127</v>
      </c>
      <c r="M1034" s="1477">
        <v>2.6481000000000001E-2</v>
      </c>
      <c r="N1034" s="1478">
        <v>1.3937261511126411</v>
      </c>
      <c r="O1034" s="1478">
        <v>1.444229079275023</v>
      </c>
    </row>
    <row r="1035" spans="11:15">
      <c r="K1035" s="1475">
        <v>43092</v>
      </c>
      <c r="L1035" s="1476"/>
      <c r="M1035" s="1477">
        <v>0</v>
      </c>
      <c r="N1035" s="1478">
        <v>1.3937261511126411</v>
      </c>
      <c r="O1035" s="1478">
        <v>1.444229079275023</v>
      </c>
    </row>
    <row r="1036" spans="11:15">
      <c r="K1036" s="1475">
        <v>43093</v>
      </c>
      <c r="L1036" s="1476"/>
      <c r="M1036" s="1477">
        <v>0</v>
      </c>
      <c r="N1036" s="1478">
        <v>1.3937261511126411</v>
      </c>
      <c r="O1036" s="1478">
        <v>1.444229079275023</v>
      </c>
    </row>
    <row r="1037" spans="11:15">
      <c r="K1037" s="1475">
        <v>43094</v>
      </c>
      <c r="L1037" s="1476"/>
      <c r="M1037" s="1477">
        <v>0</v>
      </c>
      <c r="N1037" s="1478">
        <v>1.3937261511126411</v>
      </c>
      <c r="O1037" s="1478">
        <v>1.444229079275023</v>
      </c>
    </row>
    <row r="1038" spans="11:15">
      <c r="K1038" s="1475">
        <v>43095</v>
      </c>
      <c r="L1038" s="1476" t="s">
        <v>2127</v>
      </c>
      <c r="M1038" s="1477">
        <v>2.6481000000000001E-2</v>
      </c>
      <c r="N1038" s="1478">
        <v>1.3940952237347173</v>
      </c>
      <c r="O1038" s="1478">
        <v>1.4449877472526569</v>
      </c>
    </row>
    <row r="1039" spans="11:15">
      <c r="K1039" s="1475">
        <v>43096</v>
      </c>
      <c r="L1039" s="1476" t="s">
        <v>2127</v>
      </c>
      <c r="M1039" s="1477">
        <v>2.6481000000000001E-2</v>
      </c>
      <c r="N1039" s="1478">
        <v>1.3944643940909145</v>
      </c>
      <c r="O1039" s="1478">
        <v>1.4457468137661662</v>
      </c>
    </row>
    <row r="1040" spans="11:15">
      <c r="K1040" s="1475">
        <v>43097</v>
      </c>
      <c r="L1040" s="1476" t="s">
        <v>2127</v>
      </c>
      <c r="M1040" s="1477">
        <v>2.6481000000000001E-2</v>
      </c>
      <c r="N1040" s="1478">
        <v>1.3948336622071138</v>
      </c>
      <c r="O1040" s="1478">
        <v>1.4465062790249057</v>
      </c>
    </row>
    <row r="1041" spans="11:15">
      <c r="K1041" s="1475">
        <v>43098</v>
      </c>
      <c r="L1041" s="1476" t="s">
        <v>2127</v>
      </c>
      <c r="M1041" s="1477">
        <v>2.6481000000000001E-2</v>
      </c>
      <c r="N1041" s="1478">
        <v>1.3952030281092029</v>
      </c>
      <c r="O1041" s="1478">
        <v>1.4472661432383402</v>
      </c>
    </row>
    <row r="1042" spans="11:15">
      <c r="K1042" s="1475">
        <v>43099</v>
      </c>
      <c r="L1042" s="1476"/>
      <c r="M1042" s="1477">
        <v>0</v>
      </c>
      <c r="N1042" s="1478">
        <v>1.3952030281092029</v>
      </c>
      <c r="O1042" s="1478">
        <v>1.4472661432383402</v>
      </c>
    </row>
    <row r="1043" spans="11:15">
      <c r="K1043" s="1475">
        <v>43100</v>
      </c>
      <c r="L1043" s="1476"/>
      <c r="M1043" s="1477">
        <v>0</v>
      </c>
      <c r="N1043" s="1478">
        <v>1.3952030281092029</v>
      </c>
      <c r="O1043" s="1478">
        <v>1.4472661432383402</v>
      </c>
    </row>
    <row r="1044" spans="11:15">
      <c r="K1044" s="1475">
        <v>43101</v>
      </c>
      <c r="L1044" s="1476"/>
      <c r="M1044" s="1477">
        <v>0</v>
      </c>
      <c r="N1044" s="1478">
        <v>1.3952030281092029</v>
      </c>
      <c r="O1044" s="1478">
        <v>1.4472661432383402</v>
      </c>
    </row>
    <row r="1045" spans="11:15">
      <c r="K1045" s="1475">
        <v>43102</v>
      </c>
      <c r="L1045" s="1476" t="s">
        <v>2127</v>
      </c>
      <c r="M1045" s="1477">
        <v>2.6481000000000001E-2</v>
      </c>
      <c r="N1045" s="1478">
        <v>1.3955724918230765</v>
      </c>
      <c r="O1045" s="1478"/>
    </row>
    <row r="1046" spans="11:15">
      <c r="K1046" s="1475">
        <v>43103</v>
      </c>
      <c r="L1046" s="1476" t="s">
        <v>2127</v>
      </c>
      <c r="M1046" s="1477">
        <v>2.6481000000000001E-2</v>
      </c>
      <c r="N1046" s="1478">
        <v>1.3959420533746363</v>
      </c>
      <c r="O1046" s="1478"/>
    </row>
    <row r="1047" spans="11:15">
      <c r="K1047" s="1475">
        <v>43104</v>
      </c>
      <c r="L1047" s="1476" t="s">
        <v>2127</v>
      </c>
      <c r="M1047" s="1477">
        <v>2.6481000000000001E-2</v>
      </c>
      <c r="N1047" s="1478">
        <v>1.3963117127897904</v>
      </c>
      <c r="O1047" s="1478"/>
    </row>
    <row r="1048" spans="11:15">
      <c r="K1048" s="1475">
        <v>43105</v>
      </c>
      <c r="L1048" s="1476" t="s">
        <v>2127</v>
      </c>
      <c r="M1048" s="1477">
        <v>2.6481000000000001E-2</v>
      </c>
      <c r="N1048" s="1478">
        <v>1.3966814700944543</v>
      </c>
      <c r="O1048" s="1478"/>
    </row>
    <row r="1049" spans="11:15">
      <c r="K1049" s="1475">
        <v>43106</v>
      </c>
      <c r="L1049" s="1476"/>
      <c r="M1049" s="1477">
        <v>0</v>
      </c>
      <c r="N1049" s="1478">
        <v>1.3966814700944543</v>
      </c>
      <c r="O1049" s="1478"/>
    </row>
    <row r="1050" spans="11:15">
      <c r="K1050" s="1475">
        <v>43107</v>
      </c>
      <c r="L1050" s="1476"/>
      <c r="M1050" s="1477">
        <v>0</v>
      </c>
      <c r="N1050" s="1478">
        <v>1.3966814700944543</v>
      </c>
      <c r="O1050" s="1478"/>
    </row>
    <row r="1051" spans="11:15">
      <c r="K1051" s="1475">
        <v>43108</v>
      </c>
      <c r="L1051" s="1476" t="s">
        <v>2127</v>
      </c>
      <c r="M1051" s="1477">
        <v>2.6481000000000001E-2</v>
      </c>
      <c r="N1051" s="1478">
        <v>1.39705132531455</v>
      </c>
      <c r="O1051" s="1478"/>
    </row>
    <row r="1052" spans="11:15">
      <c r="K1052" s="1475">
        <v>43109</v>
      </c>
      <c r="L1052" s="1476" t="s">
        <v>2127</v>
      </c>
      <c r="M1052" s="1477">
        <v>2.6481000000000001E-2</v>
      </c>
      <c r="N1052" s="1478">
        <v>1.3974212784760065</v>
      </c>
      <c r="O1052" s="1478"/>
    </row>
    <row r="1053" spans="11:15">
      <c r="K1053" s="1475">
        <v>43110</v>
      </c>
      <c r="L1053" s="1476" t="s">
        <v>2127</v>
      </c>
      <c r="M1053" s="1477">
        <v>2.6481000000000001E-2</v>
      </c>
      <c r="N1053" s="1478">
        <v>1.3977913296047597</v>
      </c>
      <c r="O1053" s="1478"/>
    </row>
    <row r="1054" spans="11:15">
      <c r="K1054" s="1475">
        <v>43111</v>
      </c>
      <c r="L1054" s="1476" t="s">
        <v>2127</v>
      </c>
      <c r="M1054" s="1477">
        <v>2.6481000000000001E-2</v>
      </c>
      <c r="N1054" s="1478">
        <v>1.3981614787267524</v>
      </c>
      <c r="O1054" s="1478"/>
    </row>
    <row r="1055" spans="11:15">
      <c r="K1055" s="1475">
        <v>43112</v>
      </c>
      <c r="L1055" s="1476" t="s">
        <v>2127</v>
      </c>
      <c r="M1055" s="1477">
        <v>2.6481000000000001E-2</v>
      </c>
      <c r="N1055" s="1478">
        <v>1.3985317258679342</v>
      </c>
      <c r="O1055" s="1478"/>
    </row>
    <row r="1056" spans="11:15">
      <c r="K1056" s="1475">
        <v>43113</v>
      </c>
      <c r="L1056" s="1476"/>
      <c r="M1056" s="1477">
        <v>0</v>
      </c>
      <c r="N1056" s="1478">
        <v>1.3985317258679342</v>
      </c>
      <c r="O1056" s="1478"/>
    </row>
    <row r="1057" spans="11:15">
      <c r="K1057" s="1475">
        <v>43114</v>
      </c>
      <c r="L1057" s="1476"/>
      <c r="M1057" s="1477">
        <v>0</v>
      </c>
      <c r="N1057" s="1478">
        <v>1.3985317258679342</v>
      </c>
      <c r="O1057" s="1478"/>
    </row>
    <row r="1058" spans="11:15">
      <c r="K1058" s="1475">
        <v>43115</v>
      </c>
      <c r="L1058" s="1476" t="s">
        <v>2127</v>
      </c>
      <c r="M1058" s="1477">
        <v>2.6481000000000001E-2</v>
      </c>
      <c r="N1058" s="1478">
        <v>1.3989020710542612</v>
      </c>
      <c r="O1058" s="1478"/>
    </row>
    <row r="1059" spans="11:15">
      <c r="K1059" s="1475">
        <v>43116</v>
      </c>
      <c r="L1059" s="1476" t="s">
        <v>2127</v>
      </c>
      <c r="M1059" s="1477">
        <v>2.6481000000000001E-2</v>
      </c>
      <c r="N1059" s="1478">
        <v>1.3992725143116971</v>
      </c>
      <c r="O1059" s="1478"/>
    </row>
    <row r="1060" spans="11:15">
      <c r="K1060" s="1475">
        <v>43117</v>
      </c>
      <c r="L1060" s="1476" t="s">
        <v>2127</v>
      </c>
      <c r="M1060" s="1477">
        <v>2.6481000000000001E-2</v>
      </c>
      <c r="N1060" s="1478">
        <v>1.3996430556662121</v>
      </c>
      <c r="O1060" s="1478"/>
    </row>
    <row r="1061" spans="11:15">
      <c r="K1061" s="1475">
        <v>43118</v>
      </c>
      <c r="L1061" s="1476" t="s">
        <v>2127</v>
      </c>
      <c r="M1061" s="1477">
        <v>2.6481000000000001E-2</v>
      </c>
      <c r="N1061" s="1478">
        <v>1.4000136951437829</v>
      </c>
      <c r="O1061" s="1478"/>
    </row>
    <row r="1062" spans="11:15">
      <c r="K1062" s="1475">
        <v>43119</v>
      </c>
      <c r="L1062" s="1476" t="s">
        <v>2127</v>
      </c>
      <c r="M1062" s="1477">
        <v>2.6481000000000001E-2</v>
      </c>
      <c r="N1062" s="1478">
        <v>1.400384432770394</v>
      </c>
      <c r="O1062" s="1478"/>
    </row>
    <row r="1063" spans="11:15">
      <c r="K1063" s="1475">
        <v>43120</v>
      </c>
      <c r="L1063" s="1476"/>
      <c r="M1063" s="1477">
        <v>0</v>
      </c>
      <c r="N1063" s="1478">
        <v>1.400384432770394</v>
      </c>
      <c r="O1063" s="1478"/>
    </row>
    <row r="1064" spans="11:15">
      <c r="K1064" s="1475">
        <v>43121</v>
      </c>
      <c r="L1064" s="1476"/>
      <c r="M1064" s="1477">
        <v>0</v>
      </c>
      <c r="N1064" s="1478">
        <v>1.400384432770394</v>
      </c>
      <c r="O1064" s="1478"/>
    </row>
    <row r="1065" spans="11:15">
      <c r="K1065" s="1475">
        <v>43122</v>
      </c>
      <c r="L1065" s="1476" t="s">
        <v>2127</v>
      </c>
      <c r="M1065" s="1477">
        <v>2.6481000000000001E-2</v>
      </c>
      <c r="N1065" s="1478">
        <v>1.4007552685720359</v>
      </c>
      <c r="O1065" s="1478"/>
    </row>
    <row r="1066" spans="11:15">
      <c r="K1066" s="1475">
        <v>43123</v>
      </c>
      <c r="L1066" s="1476" t="s">
        <v>2127</v>
      </c>
      <c r="M1066" s="1477">
        <v>2.6481000000000001E-2</v>
      </c>
      <c r="N1066" s="1478">
        <v>1.4011262025747064</v>
      </c>
      <c r="O1066" s="1478"/>
    </row>
    <row r="1067" spans="11:15">
      <c r="K1067" s="1475">
        <v>43124</v>
      </c>
      <c r="L1067" s="1476" t="s">
        <v>2127</v>
      </c>
      <c r="M1067" s="1477">
        <v>2.6481000000000001E-2</v>
      </c>
      <c r="N1067" s="1478">
        <v>1.4014972348044104</v>
      </c>
      <c r="O1067" s="1478"/>
    </row>
    <row r="1068" spans="11:15">
      <c r="K1068" s="1475">
        <v>43125</v>
      </c>
      <c r="L1068" s="1476" t="s">
        <v>2127</v>
      </c>
      <c r="M1068" s="1477">
        <v>2.6481000000000001E-2</v>
      </c>
      <c r="N1068" s="1478">
        <v>1.4018683652871589</v>
      </c>
      <c r="O1068" s="1478"/>
    </row>
    <row r="1069" spans="11:15">
      <c r="K1069" s="1475">
        <v>43126</v>
      </c>
      <c r="L1069" s="1476" t="s">
        <v>2127</v>
      </c>
      <c r="M1069" s="1477">
        <v>2.6481000000000001E-2</v>
      </c>
      <c r="N1069" s="1478">
        <v>1.4022395940489705</v>
      </c>
      <c r="O1069" s="1478"/>
    </row>
    <row r="1070" spans="11:15">
      <c r="K1070" s="1475">
        <v>43127</v>
      </c>
      <c r="L1070" s="1476"/>
      <c r="M1070" s="1477">
        <v>0</v>
      </c>
      <c r="N1070" s="1478">
        <v>1.4022395940489705</v>
      </c>
      <c r="O1070" s="1478"/>
    </row>
    <row r="1071" spans="11:15">
      <c r="K1071" s="1475">
        <v>43128</v>
      </c>
      <c r="L1071" s="1476"/>
      <c r="M1071" s="1477">
        <v>0</v>
      </c>
      <c r="N1071" s="1478">
        <v>1.4022395940489705</v>
      </c>
      <c r="O1071" s="1478"/>
    </row>
    <row r="1072" spans="11:15">
      <c r="K1072" s="1475">
        <v>43129</v>
      </c>
      <c r="L1072" s="1476" t="s">
        <v>2127</v>
      </c>
      <c r="M1072" s="1477">
        <v>2.6481000000000001E-2</v>
      </c>
      <c r="N1072" s="1478">
        <v>1.4026109211158706</v>
      </c>
      <c r="O1072" s="1478"/>
    </row>
    <row r="1073" spans="11:15">
      <c r="K1073" s="1475">
        <v>43130</v>
      </c>
      <c r="L1073" s="1476" t="s">
        <v>2127</v>
      </c>
      <c r="M1073" s="1477">
        <v>2.6481000000000001E-2</v>
      </c>
      <c r="N1073" s="1478">
        <v>1.4029823465138913</v>
      </c>
      <c r="O1073" s="1478"/>
    </row>
    <row r="1074" spans="11:15">
      <c r="K1074" s="1475">
        <v>43131</v>
      </c>
      <c r="L1074" s="1476" t="s">
        <v>2127</v>
      </c>
      <c r="M1074" s="1477">
        <v>2.6481000000000001E-2</v>
      </c>
      <c r="N1074" s="1478">
        <v>1.4033538702690718</v>
      </c>
      <c r="O1074" s="1478"/>
    </row>
    <row r="1075" spans="11:15">
      <c r="K1075" s="1475">
        <v>43132</v>
      </c>
      <c r="L1075" s="1476" t="s">
        <v>2127</v>
      </c>
      <c r="M1075" s="1477">
        <v>2.6481000000000001E-2</v>
      </c>
      <c r="N1075" s="1478">
        <v>1.4037254924074578</v>
      </c>
      <c r="O1075" s="1478"/>
    </row>
    <row r="1076" spans="11:15">
      <c r="K1076" s="1475">
        <v>43133</v>
      </c>
      <c r="L1076" s="1476" t="s">
        <v>2127</v>
      </c>
      <c r="M1076" s="1477">
        <v>2.6481000000000001E-2</v>
      </c>
      <c r="N1076" s="1478">
        <v>1.4040972129551021</v>
      </c>
      <c r="O1076" s="1478"/>
    </row>
    <row r="1077" spans="11:15">
      <c r="K1077" s="1475">
        <v>43134</v>
      </c>
      <c r="L1077" s="1476"/>
      <c r="M1077" s="1477">
        <v>0</v>
      </c>
      <c r="N1077" s="1478">
        <v>1.4040972129551021</v>
      </c>
      <c r="O1077" s="1478"/>
    </row>
    <row r="1078" spans="11:15">
      <c r="K1078" s="1475">
        <v>43135</v>
      </c>
      <c r="L1078" s="1476"/>
      <c r="M1078" s="1477">
        <v>0</v>
      </c>
      <c r="N1078" s="1478">
        <v>1.4040972129551021</v>
      </c>
      <c r="O1078" s="1478"/>
    </row>
    <row r="1079" spans="11:15">
      <c r="K1079" s="1475">
        <v>43136</v>
      </c>
      <c r="L1079" s="1476" t="s">
        <v>2127</v>
      </c>
      <c r="M1079" s="1477">
        <v>2.6481000000000001E-2</v>
      </c>
      <c r="N1079" s="1478">
        <v>1.4044690319380648</v>
      </c>
      <c r="O1079" s="1478"/>
    </row>
    <row r="1080" spans="11:15">
      <c r="K1080" s="1475">
        <v>43137</v>
      </c>
      <c r="L1080" s="1476" t="s">
        <v>2127</v>
      </c>
      <c r="M1080" s="1477">
        <v>2.6481000000000001E-2</v>
      </c>
      <c r="N1080" s="1478">
        <v>1.4048409493824123</v>
      </c>
      <c r="O1080" s="1478"/>
    </row>
    <row r="1081" spans="11:15">
      <c r="K1081" s="1475">
        <v>43138</v>
      </c>
      <c r="L1081" s="1476" t="s">
        <v>2127</v>
      </c>
      <c r="M1081" s="1477">
        <v>2.6481000000000001E-2</v>
      </c>
      <c r="N1081" s="1478">
        <v>1.4052129653142182</v>
      </c>
      <c r="O1081" s="1478"/>
    </row>
    <row r="1082" spans="11:15">
      <c r="K1082" s="1475">
        <v>43139</v>
      </c>
      <c r="L1082" s="1476" t="s">
        <v>2127</v>
      </c>
      <c r="M1082" s="1477">
        <v>2.5551999999999998E-2</v>
      </c>
      <c r="N1082" s="1478">
        <v>1.4055720253311155</v>
      </c>
      <c r="O1082" s="1478"/>
    </row>
    <row r="1083" spans="11:15">
      <c r="K1083" s="1475">
        <v>43140</v>
      </c>
      <c r="L1083" s="1476" t="s">
        <v>2127</v>
      </c>
      <c r="M1083" s="1477">
        <v>2.5551999999999998E-2</v>
      </c>
      <c r="N1083" s="1478">
        <v>1.4059311770950282</v>
      </c>
      <c r="O1083" s="1478"/>
    </row>
    <row r="1084" spans="11:15">
      <c r="K1084" s="1475">
        <v>43141</v>
      </c>
      <c r="L1084" s="1476"/>
      <c r="M1084" s="1477">
        <v>0</v>
      </c>
      <c r="N1084" s="1478">
        <v>1.4059311770950282</v>
      </c>
      <c r="O1084" s="1478"/>
    </row>
    <row r="1085" spans="11:15">
      <c r="K1085" s="1475">
        <v>43142</v>
      </c>
      <c r="L1085" s="1476"/>
      <c r="M1085" s="1477">
        <v>0</v>
      </c>
      <c r="N1085" s="1478">
        <v>1.4059311770950282</v>
      </c>
      <c r="O1085" s="1478"/>
    </row>
    <row r="1086" spans="11:15">
      <c r="K1086" s="1475">
        <v>43143</v>
      </c>
      <c r="L1086" s="1476"/>
      <c r="M1086" s="1477">
        <v>0</v>
      </c>
      <c r="N1086" s="1478">
        <v>1.4059311770950282</v>
      </c>
      <c r="O1086" s="1478"/>
    </row>
    <row r="1087" spans="11:15">
      <c r="K1087" s="1475">
        <v>43144</v>
      </c>
      <c r="L1087" s="1476"/>
      <c r="M1087" s="1477">
        <v>0</v>
      </c>
      <c r="N1087" s="1478">
        <v>1.4059311770950282</v>
      </c>
      <c r="O1087" s="1478"/>
    </row>
    <row r="1088" spans="11:15">
      <c r="K1088" s="1475">
        <v>43145</v>
      </c>
      <c r="L1088" s="1476" t="s">
        <v>2127</v>
      </c>
      <c r="M1088" s="1477">
        <v>2.5551999999999998E-2</v>
      </c>
      <c r="N1088" s="1478">
        <v>1.4062904206293996</v>
      </c>
      <c r="O1088" s="1478"/>
    </row>
    <row r="1089" spans="11:15">
      <c r="K1089" s="1475">
        <v>43146</v>
      </c>
      <c r="L1089" s="1476" t="s">
        <v>2127</v>
      </c>
      <c r="M1089" s="1477">
        <v>2.5551999999999998E-2</v>
      </c>
      <c r="N1089" s="1478">
        <v>1.4066497559576789</v>
      </c>
      <c r="O1089" s="1478"/>
    </row>
    <row r="1090" spans="11:15">
      <c r="K1090" s="1475">
        <v>43147</v>
      </c>
      <c r="L1090" s="1476" t="s">
        <v>2127</v>
      </c>
      <c r="M1090" s="1477">
        <v>2.5551999999999998E-2</v>
      </c>
      <c r="N1090" s="1478">
        <v>1.4070091831033213</v>
      </c>
      <c r="O1090" s="1478"/>
    </row>
    <row r="1091" spans="11:15">
      <c r="K1091" s="1475">
        <v>43148</v>
      </c>
      <c r="L1091" s="1476"/>
      <c r="M1091" s="1477">
        <v>0</v>
      </c>
      <c r="N1091" s="1478">
        <v>1.4070091831033213</v>
      </c>
      <c r="O1091" s="1478"/>
    </row>
    <row r="1092" spans="11:15">
      <c r="K1092" s="1475">
        <v>43149</v>
      </c>
      <c r="L1092" s="1476"/>
      <c r="M1092" s="1477">
        <v>0</v>
      </c>
      <c r="N1092" s="1478">
        <v>1.4070091831033213</v>
      </c>
      <c r="O1092" s="1478"/>
    </row>
    <row r="1093" spans="11:15">
      <c r="K1093" s="1475">
        <v>43150</v>
      </c>
      <c r="L1093" s="1476" t="s">
        <v>2127</v>
      </c>
      <c r="M1093" s="1477">
        <v>2.5551999999999998E-2</v>
      </c>
      <c r="N1093" s="1478">
        <v>1.407368702089788</v>
      </c>
      <c r="O1093" s="1478"/>
    </row>
    <row r="1094" spans="11:15">
      <c r="K1094" s="1475">
        <v>43151</v>
      </c>
      <c r="L1094" s="1476" t="s">
        <v>2127</v>
      </c>
      <c r="M1094" s="1477">
        <v>2.5551999999999998E-2</v>
      </c>
      <c r="N1094" s="1478">
        <v>1.407728312940546</v>
      </c>
      <c r="O1094" s="1478"/>
    </row>
    <row r="1095" spans="11:15">
      <c r="K1095" s="1475">
        <v>43152</v>
      </c>
      <c r="L1095" s="1476" t="s">
        <v>2127</v>
      </c>
      <c r="M1095" s="1477">
        <v>2.5551999999999998E-2</v>
      </c>
      <c r="N1095" s="1478">
        <v>1.4080880156790687</v>
      </c>
      <c r="O1095" s="1478"/>
    </row>
    <row r="1096" spans="11:15">
      <c r="K1096" s="1475">
        <v>43153</v>
      </c>
      <c r="L1096" s="1476" t="s">
        <v>2127</v>
      </c>
      <c r="M1096" s="1477">
        <v>2.5551999999999998E-2</v>
      </c>
      <c r="N1096" s="1478">
        <v>1.4084478103288351</v>
      </c>
      <c r="O1096" s="1478"/>
    </row>
    <row r="1097" spans="11:15">
      <c r="K1097" s="1475">
        <v>43154</v>
      </c>
      <c r="L1097" s="1476" t="s">
        <v>2127</v>
      </c>
      <c r="M1097" s="1477">
        <v>2.5551999999999998E-2</v>
      </c>
      <c r="N1097" s="1478">
        <v>1.4088076969133305</v>
      </c>
      <c r="O1097" s="1478"/>
    </row>
    <row r="1098" spans="11:15">
      <c r="K1098" s="1475">
        <v>43155</v>
      </c>
      <c r="L1098" s="1476"/>
      <c r="M1098" s="1477">
        <v>0</v>
      </c>
      <c r="N1098" s="1478">
        <v>1.4088076969133305</v>
      </c>
      <c r="O1098" s="1478"/>
    </row>
    <row r="1099" spans="11:15">
      <c r="K1099" s="1475">
        <v>43156</v>
      </c>
      <c r="L1099" s="1476"/>
      <c r="M1099" s="1477">
        <v>0</v>
      </c>
      <c r="N1099" s="1478">
        <v>1.4088076969133305</v>
      </c>
      <c r="O1099" s="1478"/>
    </row>
    <row r="1100" spans="11:15">
      <c r="K1100" s="1475">
        <v>43157</v>
      </c>
      <c r="L1100" s="1476" t="s">
        <v>2127</v>
      </c>
      <c r="M1100" s="1477">
        <v>2.5551999999999998E-2</v>
      </c>
      <c r="N1100" s="1478">
        <v>1.4091676754560458</v>
      </c>
      <c r="O1100" s="1478"/>
    </row>
    <row r="1101" spans="11:15">
      <c r="K1101" s="1475">
        <v>43158</v>
      </c>
      <c r="L1101" s="1476" t="s">
        <v>2127</v>
      </c>
      <c r="M1101" s="1477">
        <v>2.5551999999999998E-2</v>
      </c>
      <c r="N1101" s="1478">
        <v>1.4095277459804785</v>
      </c>
      <c r="O1101" s="1478"/>
    </row>
    <row r="1102" spans="11:15">
      <c r="K1102" s="1475">
        <v>43159</v>
      </c>
      <c r="L1102" s="1476" t="s">
        <v>2127</v>
      </c>
      <c r="M1102" s="1477">
        <v>2.5551999999999998E-2</v>
      </c>
      <c r="N1102" s="1478">
        <v>1.4098879085101315</v>
      </c>
      <c r="O1102" s="1478"/>
    </row>
    <row r="1103" spans="11:15">
      <c r="K1103" s="1475">
        <v>43160</v>
      </c>
      <c r="L1103" s="1476" t="s">
        <v>2127</v>
      </c>
      <c r="M1103" s="1477">
        <v>2.5551999999999998E-2</v>
      </c>
      <c r="N1103" s="1478">
        <v>1.410248163068514</v>
      </c>
      <c r="O1103" s="1478"/>
    </row>
    <row r="1104" spans="11:15">
      <c r="K1104" s="1475">
        <v>43161</v>
      </c>
      <c r="L1104" s="1476" t="s">
        <v>2127</v>
      </c>
      <c r="M1104" s="1477">
        <v>2.5551999999999998E-2</v>
      </c>
      <c r="N1104" s="1478">
        <v>1.4106085096791414</v>
      </c>
      <c r="O1104" s="1478"/>
    </row>
    <row r="1105" spans="11:15">
      <c r="K1105" s="1475">
        <v>43162</v>
      </c>
      <c r="L1105" s="1476"/>
      <c r="M1105" s="1477">
        <v>0</v>
      </c>
      <c r="N1105" s="1478">
        <v>1.4106085096791414</v>
      </c>
      <c r="O1105" s="1478"/>
    </row>
    <row r="1106" spans="11:15">
      <c r="K1106" s="1475">
        <v>43163</v>
      </c>
      <c r="L1106" s="1476"/>
      <c r="M1106" s="1477">
        <v>0</v>
      </c>
      <c r="N1106" s="1478">
        <v>1.4106085096791414</v>
      </c>
      <c r="O1106" s="1478"/>
    </row>
    <row r="1107" spans="11:15">
      <c r="K1107" s="1475">
        <v>43164</v>
      </c>
      <c r="L1107" s="1476" t="s">
        <v>2127</v>
      </c>
      <c r="M1107" s="1477">
        <v>2.5551999999999998E-2</v>
      </c>
      <c r="N1107" s="1478">
        <v>1.4109689483655348</v>
      </c>
      <c r="O1107" s="1478"/>
    </row>
    <row r="1108" spans="11:15">
      <c r="K1108" s="1475">
        <v>43165</v>
      </c>
      <c r="L1108" s="1476" t="s">
        <v>2127</v>
      </c>
      <c r="M1108" s="1477">
        <v>2.5551999999999998E-2</v>
      </c>
      <c r="N1108" s="1478">
        <v>1.4113294791512212</v>
      </c>
      <c r="O1108" s="1478"/>
    </row>
    <row r="1109" spans="11:15">
      <c r="K1109" s="1475">
        <v>43166</v>
      </c>
      <c r="L1109" s="1476" t="s">
        <v>2127</v>
      </c>
      <c r="M1109" s="1477">
        <v>2.5551999999999998E-2</v>
      </c>
      <c r="N1109" s="1478">
        <v>1.4116901020597341</v>
      </c>
      <c r="O1109" s="1478"/>
    </row>
    <row r="1110" spans="11:15">
      <c r="K1110" s="1475">
        <v>43167</v>
      </c>
      <c r="L1110" s="1476" t="s">
        <v>2127</v>
      </c>
      <c r="M1110" s="1477">
        <v>2.5551999999999998E-2</v>
      </c>
      <c r="N1110" s="1478">
        <v>1.4120508171146124</v>
      </c>
      <c r="O1110" s="1478"/>
    </row>
    <row r="1111" spans="11:15">
      <c r="K1111" s="1475">
        <v>43168</v>
      </c>
      <c r="L1111" s="1476" t="s">
        <v>2127</v>
      </c>
      <c r="M1111" s="1477">
        <v>2.5551999999999998E-2</v>
      </c>
      <c r="N1111" s="1478">
        <v>1.4124116243394016</v>
      </c>
      <c r="O1111" s="1478"/>
    </row>
    <row r="1112" spans="11:15">
      <c r="K1112" s="1475">
        <v>43169</v>
      </c>
      <c r="L1112" s="1476"/>
      <c r="M1112" s="1477">
        <v>0</v>
      </c>
      <c r="N1112" s="1478">
        <v>1.4124116243394016</v>
      </c>
      <c r="O1112" s="1478"/>
    </row>
    <row r="1113" spans="11:15">
      <c r="K1113" s="1475">
        <v>43170</v>
      </c>
      <c r="L1113" s="1476"/>
      <c r="M1113" s="1477">
        <v>0</v>
      </c>
      <c r="N1113" s="1478">
        <v>1.4124116243394016</v>
      </c>
      <c r="O1113" s="1478"/>
    </row>
    <row r="1114" spans="11:15">
      <c r="K1114" s="1475">
        <v>43171</v>
      </c>
      <c r="L1114" s="1476" t="s">
        <v>2127</v>
      </c>
      <c r="M1114" s="1477">
        <v>2.5551999999999998E-2</v>
      </c>
      <c r="N1114" s="1478">
        <v>1.4127725237576529</v>
      </c>
      <c r="O1114" s="1478"/>
    </row>
    <row r="1115" spans="11:15">
      <c r="K1115" s="1475">
        <v>43172</v>
      </c>
      <c r="L1115" s="1476" t="s">
        <v>2127</v>
      </c>
      <c r="M1115" s="1477">
        <v>2.5551999999999998E-2</v>
      </c>
      <c r="N1115" s="1478">
        <v>1.4131335153929236</v>
      </c>
      <c r="O1115" s="1478"/>
    </row>
    <row r="1116" spans="11:15">
      <c r="K1116" s="1475">
        <v>43173</v>
      </c>
      <c r="L1116" s="1476" t="s">
        <v>2127</v>
      </c>
      <c r="M1116" s="1477">
        <v>2.5551999999999998E-2</v>
      </c>
      <c r="N1116" s="1478">
        <v>1.4134945992687769</v>
      </c>
      <c r="O1116" s="1478"/>
    </row>
    <row r="1117" spans="11:15">
      <c r="K1117" s="1475">
        <v>43174</v>
      </c>
      <c r="L1117" s="1476" t="s">
        <v>2127</v>
      </c>
      <c r="M1117" s="1477">
        <v>2.5551999999999998E-2</v>
      </c>
      <c r="N1117" s="1478">
        <v>1.4138557754087822</v>
      </c>
      <c r="O1117" s="1478"/>
    </row>
    <row r="1118" spans="11:15">
      <c r="K1118" s="1475">
        <v>43175</v>
      </c>
      <c r="L1118" s="1476" t="s">
        <v>2127</v>
      </c>
      <c r="M1118" s="1477">
        <v>2.5551999999999998E-2</v>
      </c>
      <c r="N1118" s="1478">
        <v>1.4142170438365147</v>
      </c>
      <c r="O1118" s="1478"/>
    </row>
    <row r="1119" spans="11:15">
      <c r="K1119" s="1475">
        <v>43176</v>
      </c>
      <c r="L1119" s="1476"/>
      <c r="M1119" s="1477">
        <v>0</v>
      </c>
      <c r="N1119" s="1478">
        <v>1.4142170438365147</v>
      </c>
      <c r="O1119" s="1478"/>
    </row>
    <row r="1120" spans="11:15">
      <c r="K1120" s="1475">
        <v>43177</v>
      </c>
      <c r="L1120" s="1476"/>
      <c r="M1120" s="1477">
        <v>0</v>
      </c>
      <c r="N1120" s="1478">
        <v>1.4142170438365147</v>
      </c>
      <c r="O1120" s="1478"/>
    </row>
    <row r="1121" spans="11:15">
      <c r="K1121" s="1475">
        <v>43178</v>
      </c>
      <c r="L1121" s="1476" t="s">
        <v>2127</v>
      </c>
      <c r="M1121" s="1477">
        <v>2.5551999999999998E-2</v>
      </c>
      <c r="N1121" s="1478">
        <v>1.4145784045755558</v>
      </c>
      <c r="O1121" s="1478"/>
    </row>
    <row r="1122" spans="11:15">
      <c r="K1122" s="1475">
        <v>43179</v>
      </c>
      <c r="L1122" s="1476" t="s">
        <v>2127</v>
      </c>
      <c r="M1122" s="1477">
        <v>2.5551999999999998E-2</v>
      </c>
      <c r="N1122" s="1478">
        <v>1.4149398576494931</v>
      </c>
      <c r="O1122" s="1478"/>
    </row>
    <row r="1123" spans="11:15">
      <c r="K1123" s="1475">
        <v>43180</v>
      </c>
      <c r="L1123" s="1476" t="s">
        <v>2127</v>
      </c>
      <c r="M1123" s="1477">
        <v>2.5551999999999998E-2</v>
      </c>
      <c r="N1123" s="1478">
        <v>1.4153014030819198</v>
      </c>
      <c r="O1123" s="1478"/>
    </row>
    <row r="1124" spans="11:15">
      <c r="K1124" s="1475">
        <v>43181</v>
      </c>
      <c r="L1124" s="1476" t="s">
        <v>2127</v>
      </c>
      <c r="M1124" s="1477">
        <v>2.462E-2</v>
      </c>
      <c r="N1124" s="1478">
        <v>1.4156498502873587</v>
      </c>
      <c r="O1124" s="1478"/>
    </row>
    <row r="1125" spans="11:15">
      <c r="K1125" s="1475">
        <v>43182</v>
      </c>
      <c r="L1125" s="1476" t="s">
        <v>2127</v>
      </c>
      <c r="M1125" s="1477">
        <v>2.462E-2</v>
      </c>
      <c r="N1125" s="1478">
        <v>1.4159983832804997</v>
      </c>
      <c r="O1125" s="1478"/>
    </row>
    <row r="1126" spans="11:15">
      <c r="K1126" s="1475">
        <v>43183</v>
      </c>
      <c r="L1126" s="1476"/>
      <c r="M1126" s="1477">
        <v>0</v>
      </c>
      <c r="N1126" s="1478">
        <v>1.4159983832804997</v>
      </c>
      <c r="O1126" s="1478"/>
    </row>
    <row r="1127" spans="11:15">
      <c r="K1127" s="1475">
        <v>43184</v>
      </c>
      <c r="L1127" s="1476"/>
      <c r="M1127" s="1477">
        <v>0</v>
      </c>
      <c r="N1127" s="1478">
        <v>1.4159983832804997</v>
      </c>
      <c r="O1127" s="1478"/>
    </row>
    <row r="1128" spans="11:15">
      <c r="K1128" s="1475">
        <v>43185</v>
      </c>
      <c r="L1128" s="1476" t="s">
        <v>2127</v>
      </c>
      <c r="M1128" s="1477">
        <v>2.462E-2</v>
      </c>
      <c r="N1128" s="1478">
        <v>1.4163470020824633</v>
      </c>
      <c r="O1128" s="1478"/>
    </row>
    <row r="1129" spans="11:15">
      <c r="K1129" s="1475">
        <v>43186</v>
      </c>
      <c r="L1129" s="1476" t="s">
        <v>2127</v>
      </c>
      <c r="M1129" s="1477">
        <v>2.462E-2</v>
      </c>
      <c r="N1129" s="1478">
        <v>1.4166957067143762</v>
      </c>
      <c r="O1129" s="1478"/>
    </row>
    <row r="1130" spans="11:15">
      <c r="K1130" s="1475">
        <v>43187</v>
      </c>
      <c r="L1130" s="1476" t="s">
        <v>2127</v>
      </c>
      <c r="M1130" s="1477">
        <v>2.462E-2</v>
      </c>
      <c r="N1130" s="1478">
        <v>1.4170444971973695</v>
      </c>
      <c r="O1130" s="1478"/>
    </row>
    <row r="1131" spans="11:15">
      <c r="K1131" s="1475">
        <v>43188</v>
      </c>
      <c r="L1131" s="1476" t="s">
        <v>2127</v>
      </c>
      <c r="M1131" s="1477">
        <v>2.462E-2</v>
      </c>
      <c r="N1131" s="1478">
        <v>1.4173933735525797</v>
      </c>
      <c r="O1131" s="1478"/>
    </row>
    <row r="1132" spans="11:15">
      <c r="K1132" s="1475">
        <v>43189</v>
      </c>
      <c r="L1132" s="1476"/>
      <c r="M1132" s="1477">
        <v>0</v>
      </c>
      <c r="N1132" s="1478">
        <v>1.4173933735525797</v>
      </c>
      <c r="O1132" s="1478"/>
    </row>
    <row r="1133" spans="11:15">
      <c r="K1133" s="1475">
        <v>43190</v>
      </c>
      <c r="L1133" s="1476"/>
      <c r="M1133" s="1477">
        <v>0</v>
      </c>
      <c r="N1133" s="1478">
        <v>1.4173933735525797</v>
      </c>
      <c r="O1133" s="1478"/>
    </row>
    <row r="1134" spans="11:15">
      <c r="K1134" s="1475">
        <v>43191</v>
      </c>
      <c r="L1134" s="1476"/>
      <c r="M1134" s="1477">
        <v>0</v>
      </c>
      <c r="N1134" s="1478">
        <v>1.4173933735525797</v>
      </c>
      <c r="O1134" s="1478"/>
    </row>
    <row r="1135" spans="11:15">
      <c r="K1135" s="1475">
        <v>43192</v>
      </c>
      <c r="L1135" s="1476" t="s">
        <v>2127</v>
      </c>
      <c r="M1135" s="1477">
        <v>2.462E-2</v>
      </c>
      <c r="N1135" s="1478">
        <v>1.4177423358011485</v>
      </c>
      <c r="O1135" s="1478"/>
    </row>
    <row r="1136" spans="11:15">
      <c r="K1136" s="1475">
        <v>43193</v>
      </c>
      <c r="L1136" s="1476" t="s">
        <v>2127</v>
      </c>
      <c r="M1136" s="1477">
        <v>2.462E-2</v>
      </c>
      <c r="N1136" s="1478">
        <v>1.4180913839642229</v>
      </c>
      <c r="O1136" s="1478"/>
    </row>
    <row r="1137" spans="11:15">
      <c r="K1137" s="1475">
        <v>43194</v>
      </c>
      <c r="L1137" s="1476" t="s">
        <v>2127</v>
      </c>
      <c r="M1137" s="1477">
        <v>2.462E-2</v>
      </c>
      <c r="N1137" s="1478">
        <v>1.4184405180629549</v>
      </c>
      <c r="O1137" s="1478"/>
    </row>
    <row r="1138" spans="11:15">
      <c r="K1138" s="1475">
        <v>43195</v>
      </c>
      <c r="L1138" s="1476" t="s">
        <v>2127</v>
      </c>
      <c r="M1138" s="1477">
        <v>2.462E-2</v>
      </c>
      <c r="N1138" s="1478">
        <v>1.4187897381185022</v>
      </c>
      <c r="O1138" s="1478"/>
    </row>
    <row r="1139" spans="11:15">
      <c r="K1139" s="1475">
        <v>43196</v>
      </c>
      <c r="L1139" s="1476" t="s">
        <v>2127</v>
      </c>
      <c r="M1139" s="1477">
        <v>2.462E-2</v>
      </c>
      <c r="N1139" s="1478">
        <v>1.4191390441520271</v>
      </c>
      <c r="O1139" s="1478"/>
    </row>
    <row r="1140" spans="11:15">
      <c r="K1140" s="1475">
        <v>43197</v>
      </c>
      <c r="L1140" s="1476"/>
      <c r="M1140" s="1477">
        <v>0</v>
      </c>
      <c r="N1140" s="1478">
        <v>1.4191390441520271</v>
      </c>
      <c r="O1140" s="1478"/>
    </row>
    <row r="1141" spans="11:15">
      <c r="K1141" s="1475">
        <v>43198</v>
      </c>
      <c r="L1141" s="1476"/>
      <c r="M1141" s="1477">
        <v>0</v>
      </c>
      <c r="N1141" s="1478">
        <v>1.4191390441520271</v>
      </c>
      <c r="O1141" s="1478"/>
    </row>
    <row r="1142" spans="11:15">
      <c r="K1142" s="1475">
        <v>43199</v>
      </c>
      <c r="L1142" s="1476" t="s">
        <v>2127</v>
      </c>
      <c r="M1142" s="1477">
        <v>2.462E-2</v>
      </c>
      <c r="N1142" s="1478">
        <v>1.4194884361846973</v>
      </c>
      <c r="O1142" s="1478"/>
    </row>
    <row r="1143" spans="11:15">
      <c r="K1143" s="1475">
        <v>43200</v>
      </c>
      <c r="L1143" s="1476" t="s">
        <v>2127</v>
      </c>
      <c r="M1143" s="1477">
        <v>2.462E-2</v>
      </c>
      <c r="N1143" s="1478">
        <v>1.419837914237686</v>
      </c>
      <c r="O1143" s="1478"/>
    </row>
    <row r="1144" spans="11:15">
      <c r="K1144" s="1475">
        <v>43201</v>
      </c>
      <c r="L1144" s="1476" t="s">
        <v>2127</v>
      </c>
      <c r="M1144" s="1477">
        <v>2.462E-2</v>
      </c>
      <c r="N1144" s="1478">
        <v>1.4201874783321715</v>
      </c>
      <c r="O1144" s="1478"/>
    </row>
    <row r="1145" spans="11:15">
      <c r="K1145" s="1475">
        <v>43202</v>
      </c>
      <c r="L1145" s="1476" t="s">
        <v>2127</v>
      </c>
      <c r="M1145" s="1477">
        <v>2.462E-2</v>
      </c>
      <c r="N1145" s="1478">
        <v>1.4205371284893371</v>
      </c>
      <c r="O1145" s="1478"/>
    </row>
    <row r="1146" spans="11:15">
      <c r="K1146" s="1475">
        <v>43203</v>
      </c>
      <c r="L1146" s="1476" t="s">
        <v>2127</v>
      </c>
      <c r="M1146" s="1477">
        <v>2.462E-2</v>
      </c>
      <c r="N1146" s="1478">
        <v>1.4208868647303714</v>
      </c>
      <c r="O1146" s="1478"/>
    </row>
    <row r="1147" spans="11:15">
      <c r="K1147" s="1475">
        <v>43204</v>
      </c>
      <c r="L1147" s="1476"/>
      <c r="M1147" s="1477">
        <v>0</v>
      </c>
      <c r="N1147" s="1478">
        <v>1.4208868647303714</v>
      </c>
      <c r="O1147" s="1478"/>
    </row>
    <row r="1148" spans="11:15">
      <c r="K1148" s="1475">
        <v>43205</v>
      </c>
      <c r="L1148" s="1476"/>
      <c r="M1148" s="1477">
        <v>0</v>
      </c>
      <c r="N1148" s="1478">
        <v>1.4208868647303714</v>
      </c>
      <c r="O1148" s="1478"/>
    </row>
    <row r="1149" spans="11:15">
      <c r="K1149" s="1475">
        <v>43206</v>
      </c>
      <c r="L1149" s="1476" t="s">
        <v>2127</v>
      </c>
      <c r="M1149" s="1477">
        <v>2.462E-2</v>
      </c>
      <c r="N1149" s="1478">
        <v>1.4212366870764681</v>
      </c>
      <c r="O1149" s="1478"/>
    </row>
    <row r="1150" spans="11:15">
      <c r="K1150" s="1475">
        <v>43207</v>
      </c>
      <c r="L1150" s="1476" t="s">
        <v>2127</v>
      </c>
      <c r="M1150" s="1477">
        <v>2.462E-2</v>
      </c>
      <c r="N1150" s="1478">
        <v>1.4215865955488265</v>
      </c>
      <c r="O1150" s="1478"/>
    </row>
    <row r="1151" spans="11:15">
      <c r="K1151" s="1475">
        <v>43208</v>
      </c>
      <c r="L1151" s="1476" t="s">
        <v>2127</v>
      </c>
      <c r="M1151" s="1477">
        <v>2.462E-2</v>
      </c>
      <c r="N1151" s="1478">
        <v>1.4219365901686507</v>
      </c>
      <c r="O1151" s="1478"/>
    </row>
    <row r="1152" spans="11:15">
      <c r="K1152" s="1475">
        <v>43209</v>
      </c>
      <c r="L1152" s="1476" t="s">
        <v>2127</v>
      </c>
      <c r="M1152" s="1477">
        <v>2.462E-2</v>
      </c>
      <c r="N1152" s="1478">
        <v>1.4222866709571504</v>
      </c>
      <c r="O1152" s="1478"/>
    </row>
    <row r="1153" spans="11:15">
      <c r="K1153" s="1475">
        <v>43210</v>
      </c>
      <c r="L1153" s="1476" t="s">
        <v>2127</v>
      </c>
      <c r="M1153" s="1477">
        <v>2.462E-2</v>
      </c>
      <c r="N1153" s="1478">
        <v>1.4226368379355403</v>
      </c>
      <c r="O1153" s="1478"/>
    </row>
    <row r="1154" spans="11:15">
      <c r="K1154" s="1475">
        <v>43211</v>
      </c>
      <c r="L1154" s="1476"/>
      <c r="M1154" s="1477">
        <v>0</v>
      </c>
      <c r="N1154" s="1478">
        <v>1.4226368379355403</v>
      </c>
      <c r="O1154" s="1478"/>
    </row>
    <row r="1155" spans="11:15">
      <c r="K1155" s="1475">
        <v>43212</v>
      </c>
      <c r="L1155" s="1476"/>
      <c r="M1155" s="1477">
        <v>0</v>
      </c>
      <c r="N1155" s="1478">
        <v>1.4226368379355403</v>
      </c>
      <c r="O1155" s="1478"/>
    </row>
    <row r="1156" spans="11:15">
      <c r="K1156" s="1475">
        <v>43213</v>
      </c>
      <c r="L1156" s="1476" t="s">
        <v>2127</v>
      </c>
      <c r="M1156" s="1477">
        <v>2.462E-2</v>
      </c>
      <c r="N1156" s="1478">
        <v>1.4229870911250402</v>
      </c>
      <c r="O1156" s="1478"/>
    </row>
    <row r="1157" spans="11:15">
      <c r="K1157" s="1475">
        <v>43214</v>
      </c>
      <c r="L1157" s="1476" t="s">
        <v>2127</v>
      </c>
      <c r="M1157" s="1477">
        <v>2.462E-2</v>
      </c>
      <c r="N1157" s="1478">
        <v>1.4233374305468753</v>
      </c>
      <c r="O1157" s="1478"/>
    </row>
    <row r="1158" spans="11:15">
      <c r="K1158" s="1475">
        <v>43215</v>
      </c>
      <c r="L1158" s="1476" t="s">
        <v>2127</v>
      </c>
      <c r="M1158" s="1477">
        <v>2.462E-2</v>
      </c>
      <c r="N1158" s="1478">
        <v>1.4236878562222761</v>
      </c>
      <c r="O1158" s="1478"/>
    </row>
    <row r="1159" spans="11:15">
      <c r="K1159" s="1475">
        <v>43216</v>
      </c>
      <c r="L1159" s="1476" t="s">
        <v>2127</v>
      </c>
      <c r="M1159" s="1477">
        <v>2.462E-2</v>
      </c>
      <c r="N1159" s="1478">
        <v>1.4240383681724782</v>
      </c>
      <c r="O1159" s="1478"/>
    </row>
    <row r="1160" spans="11:15">
      <c r="K1160" s="1475">
        <v>43217</v>
      </c>
      <c r="L1160" s="1476" t="s">
        <v>2127</v>
      </c>
      <c r="M1160" s="1477">
        <v>2.462E-2</v>
      </c>
      <c r="N1160" s="1478">
        <v>1.4243889664187224</v>
      </c>
      <c r="O1160" s="1478"/>
    </row>
    <row r="1161" spans="11:15">
      <c r="K1161" s="1475">
        <v>43218</v>
      </c>
      <c r="L1161" s="1476"/>
      <c r="M1161" s="1477">
        <v>0</v>
      </c>
      <c r="N1161" s="1478">
        <v>1.4243889664187224</v>
      </c>
      <c r="O1161" s="1478"/>
    </row>
    <row r="1162" spans="11:15">
      <c r="K1162" s="1475">
        <v>43219</v>
      </c>
      <c r="L1162" s="1476"/>
      <c r="M1162" s="1477">
        <v>0</v>
      </c>
      <c r="N1162" s="1478">
        <v>1.4243889664187224</v>
      </c>
      <c r="O1162" s="1478"/>
    </row>
    <row r="1163" spans="11:15">
      <c r="K1163" s="1475">
        <v>43220</v>
      </c>
      <c r="L1163" s="1476" t="s">
        <v>2127</v>
      </c>
      <c r="M1163" s="1477">
        <v>2.462E-2</v>
      </c>
      <c r="N1163" s="1478">
        <v>1.4247396509822547</v>
      </c>
      <c r="O1163" s="1478"/>
    </row>
    <row r="1164" spans="11:15">
      <c r="K1164" s="1475">
        <v>43221</v>
      </c>
      <c r="L1164" s="1476"/>
      <c r="M1164" s="1477">
        <v>0</v>
      </c>
      <c r="N1164" s="1478">
        <v>1.4247396509822547</v>
      </c>
      <c r="O1164" s="1478"/>
    </row>
    <row r="1165" spans="11:15">
      <c r="K1165" s="1475">
        <v>43222</v>
      </c>
      <c r="L1165" s="1476" t="s">
        <v>2127</v>
      </c>
      <c r="M1165" s="1477">
        <v>2.462E-2</v>
      </c>
      <c r="N1165" s="1478">
        <v>1.4250904218843268</v>
      </c>
      <c r="O1165" s="1478"/>
    </row>
    <row r="1166" spans="11:15">
      <c r="K1166" s="1475">
        <v>43223</v>
      </c>
      <c r="L1166" s="1476" t="s">
        <v>2127</v>
      </c>
      <c r="M1166" s="1477">
        <v>2.462E-2</v>
      </c>
      <c r="N1166" s="1478">
        <v>1.4254412791461948</v>
      </c>
      <c r="O1166" s="1478"/>
    </row>
    <row r="1167" spans="11:15">
      <c r="K1167" s="1475">
        <v>43224</v>
      </c>
      <c r="L1167" s="1476" t="s">
        <v>2127</v>
      </c>
      <c r="M1167" s="1477">
        <v>2.462E-2</v>
      </c>
      <c r="N1167" s="1478">
        <v>1.4257922227891207</v>
      </c>
      <c r="O1167" s="1478"/>
    </row>
    <row r="1168" spans="11:15">
      <c r="K1168" s="1475">
        <v>43225</v>
      </c>
      <c r="L1168" s="1476"/>
      <c r="M1168" s="1477">
        <v>0</v>
      </c>
      <c r="N1168" s="1478">
        <v>1.4257922227891207</v>
      </c>
      <c r="O1168" s="1478"/>
    </row>
    <row r="1169" spans="11:15">
      <c r="K1169" s="1475">
        <v>43226</v>
      </c>
      <c r="L1169" s="1476"/>
      <c r="M1169" s="1477">
        <v>0</v>
      </c>
      <c r="N1169" s="1478">
        <v>1.4257922227891207</v>
      </c>
      <c r="O1169" s="1478"/>
    </row>
    <row r="1170" spans="11:15">
      <c r="K1170" s="1475">
        <v>43227</v>
      </c>
      <c r="L1170" s="1476" t="s">
        <v>2127</v>
      </c>
      <c r="M1170" s="1477">
        <v>2.462E-2</v>
      </c>
      <c r="N1170" s="1478">
        <v>1.4261432528343714</v>
      </c>
      <c r="O1170" s="1478"/>
    </row>
    <row r="1171" spans="11:15">
      <c r="K1171" s="1475">
        <v>43228</v>
      </c>
      <c r="L1171" s="1476" t="s">
        <v>2127</v>
      </c>
      <c r="M1171" s="1477">
        <v>2.462E-2</v>
      </c>
      <c r="N1171" s="1478">
        <v>1.4264943693032193</v>
      </c>
      <c r="O1171" s="1478"/>
    </row>
    <row r="1172" spans="11:15">
      <c r="K1172" s="1475">
        <v>43229</v>
      </c>
      <c r="L1172" s="1476" t="s">
        <v>2127</v>
      </c>
      <c r="M1172" s="1477">
        <v>2.462E-2</v>
      </c>
      <c r="N1172" s="1478">
        <v>1.4268455722169417</v>
      </c>
      <c r="O1172" s="1478"/>
    </row>
    <row r="1173" spans="11:15">
      <c r="K1173" s="1475">
        <v>43230</v>
      </c>
      <c r="L1173" s="1476" t="s">
        <v>2127</v>
      </c>
      <c r="M1173" s="1477">
        <v>2.462E-2</v>
      </c>
      <c r="N1173" s="1478">
        <v>1.4271968615968216</v>
      </c>
      <c r="O1173" s="1478"/>
    </row>
    <row r="1174" spans="11:15">
      <c r="K1174" s="1475">
        <v>43231</v>
      </c>
      <c r="L1174" s="1476" t="s">
        <v>2127</v>
      </c>
      <c r="M1174" s="1477">
        <v>2.462E-2</v>
      </c>
      <c r="N1174" s="1478">
        <v>1.4275482374641468</v>
      </c>
      <c r="O1174" s="1478"/>
    </row>
    <row r="1175" spans="11:15">
      <c r="K1175" s="1475">
        <v>43232</v>
      </c>
      <c r="L1175" s="1476"/>
      <c r="M1175" s="1477">
        <v>0</v>
      </c>
      <c r="N1175" s="1478">
        <v>1.4275482374641468</v>
      </c>
      <c r="O1175" s="1478"/>
    </row>
    <row r="1176" spans="11:15">
      <c r="K1176" s="1475">
        <v>43233</v>
      </c>
      <c r="L1176" s="1476"/>
      <c r="M1176" s="1477">
        <v>0</v>
      </c>
      <c r="N1176" s="1478">
        <v>1.4275482374641468</v>
      </c>
      <c r="O1176" s="1478"/>
    </row>
    <row r="1177" spans="11:15">
      <c r="K1177" s="1475">
        <v>43234</v>
      </c>
      <c r="L1177" s="1476" t="s">
        <v>2127</v>
      </c>
      <c r="M1177" s="1477">
        <v>2.462E-2</v>
      </c>
      <c r="N1177" s="1478">
        <v>1.4278996998402107</v>
      </c>
      <c r="O1177" s="1478"/>
    </row>
    <row r="1178" spans="11:15">
      <c r="K1178" s="1475">
        <v>43235</v>
      </c>
      <c r="L1178" s="1476" t="s">
        <v>2127</v>
      </c>
      <c r="M1178" s="1477">
        <v>2.462E-2</v>
      </c>
      <c r="N1178" s="1478">
        <v>1.4282512487463115</v>
      </c>
      <c r="O1178" s="1478"/>
    </row>
    <row r="1179" spans="11:15">
      <c r="K1179" s="1475">
        <v>43236</v>
      </c>
      <c r="L1179" s="1476" t="s">
        <v>2127</v>
      </c>
      <c r="M1179" s="1477">
        <v>2.462E-2</v>
      </c>
      <c r="N1179" s="1478">
        <v>1.428602884203753</v>
      </c>
      <c r="O1179" s="1478"/>
    </row>
    <row r="1180" spans="11:15">
      <c r="K1180" s="1475">
        <v>43237</v>
      </c>
      <c r="L1180" s="1476" t="s">
        <v>2127</v>
      </c>
      <c r="M1180" s="1477">
        <v>2.462E-2</v>
      </c>
      <c r="N1180" s="1478">
        <v>1.4289546062338441</v>
      </c>
      <c r="O1180" s="1478"/>
    </row>
    <row r="1181" spans="11:15">
      <c r="K1181" s="1475">
        <v>43238</v>
      </c>
      <c r="L1181" s="1476" t="s">
        <v>2127</v>
      </c>
      <c r="M1181" s="1477">
        <v>2.462E-2</v>
      </c>
      <c r="N1181" s="1478">
        <v>1.4293064148578989</v>
      </c>
      <c r="O1181" s="1478"/>
    </row>
    <row r="1182" spans="11:15">
      <c r="K1182" s="1475">
        <v>43239</v>
      </c>
      <c r="L1182" s="1476"/>
      <c r="M1182" s="1477">
        <v>0</v>
      </c>
      <c r="N1182" s="1478">
        <v>1.4293064148578989</v>
      </c>
      <c r="O1182" s="1478"/>
    </row>
    <row r="1183" spans="11:15">
      <c r="K1183" s="1475">
        <v>43240</v>
      </c>
      <c r="L1183" s="1476"/>
      <c r="M1183" s="1477">
        <v>0</v>
      </c>
      <c r="N1183" s="1478">
        <v>1.4293064148578989</v>
      </c>
      <c r="O1183" s="1478"/>
    </row>
    <row r="1184" spans="11:15">
      <c r="K1184" s="1475">
        <v>43241</v>
      </c>
      <c r="L1184" s="1476" t="s">
        <v>2127</v>
      </c>
      <c r="M1184" s="1477">
        <v>2.462E-2</v>
      </c>
      <c r="N1184" s="1478">
        <v>1.4296583100972371</v>
      </c>
      <c r="O1184" s="1478"/>
    </row>
    <row r="1185" spans="11:15">
      <c r="K1185" s="1475">
        <v>43242</v>
      </c>
      <c r="L1185" s="1476" t="s">
        <v>2127</v>
      </c>
      <c r="M1185" s="1477">
        <v>2.462E-2</v>
      </c>
      <c r="N1185" s="1478">
        <v>1.4300102919731832</v>
      </c>
      <c r="O1185" s="1478"/>
    </row>
    <row r="1186" spans="11:15">
      <c r="K1186" s="1475">
        <v>43243</v>
      </c>
      <c r="L1186" s="1476" t="s">
        <v>2127</v>
      </c>
      <c r="M1186" s="1477">
        <v>2.462E-2</v>
      </c>
      <c r="N1186" s="1478">
        <v>1.430362360507067</v>
      </c>
      <c r="O1186" s="1478"/>
    </row>
    <row r="1187" spans="11:15">
      <c r="K1187" s="1475">
        <v>43244</v>
      </c>
      <c r="L1187" s="1476" t="s">
        <v>2127</v>
      </c>
      <c r="M1187" s="1477">
        <v>2.462E-2</v>
      </c>
      <c r="N1187" s="1478">
        <v>1.4307145157202239</v>
      </c>
      <c r="O1187" s="1478"/>
    </row>
    <row r="1188" spans="11:15">
      <c r="K1188" s="1475">
        <v>43245</v>
      </c>
      <c r="L1188" s="1476" t="s">
        <v>2127</v>
      </c>
      <c r="M1188" s="1477">
        <v>2.462E-2</v>
      </c>
      <c r="N1188" s="1478">
        <v>1.4310667576339944</v>
      </c>
      <c r="O1188" s="1478"/>
    </row>
    <row r="1189" spans="11:15">
      <c r="K1189" s="1475">
        <v>43246</v>
      </c>
      <c r="L1189" s="1476"/>
      <c r="M1189" s="1477">
        <v>0</v>
      </c>
      <c r="N1189" s="1478">
        <v>1.4310667576339944</v>
      </c>
      <c r="O1189" s="1478"/>
    </row>
    <row r="1190" spans="11:15">
      <c r="K1190" s="1475">
        <v>43247</v>
      </c>
      <c r="L1190" s="1476"/>
      <c r="M1190" s="1477">
        <v>0</v>
      </c>
      <c r="N1190" s="1478">
        <v>1.4310667576339944</v>
      </c>
      <c r="O1190" s="1478"/>
    </row>
    <row r="1191" spans="11:15">
      <c r="K1191" s="1475">
        <v>43248</v>
      </c>
      <c r="L1191" s="1476" t="s">
        <v>2127</v>
      </c>
      <c r="M1191" s="1477">
        <v>2.462E-2</v>
      </c>
      <c r="N1191" s="1478">
        <v>1.431419086269724</v>
      </c>
      <c r="O1191" s="1478"/>
    </row>
    <row r="1192" spans="11:15">
      <c r="K1192" s="1475">
        <v>43249</v>
      </c>
      <c r="L1192" s="1476" t="s">
        <v>2127</v>
      </c>
      <c r="M1192" s="1477">
        <v>2.462E-2</v>
      </c>
      <c r="N1192" s="1478">
        <v>1.4317715016487638</v>
      </c>
      <c r="O1192" s="1478"/>
    </row>
    <row r="1193" spans="11:15">
      <c r="K1193" s="1475">
        <v>43250</v>
      </c>
      <c r="L1193" s="1476" t="s">
        <v>2127</v>
      </c>
      <c r="M1193" s="1477">
        <v>2.462E-2</v>
      </c>
      <c r="N1193" s="1478">
        <v>1.4321240037924698</v>
      </c>
      <c r="O1193" s="1478"/>
    </row>
    <row r="1194" spans="11:15">
      <c r="K1194" s="1475">
        <v>43251</v>
      </c>
      <c r="L1194" s="1476"/>
      <c r="M1194" s="1477">
        <v>0</v>
      </c>
      <c r="N1194" s="1478">
        <v>1.4321240037924698</v>
      </c>
      <c r="O1194" s="1478"/>
    </row>
    <row r="1195" spans="11:15">
      <c r="K1195" s="1475">
        <v>43252</v>
      </c>
      <c r="L1195" s="1476" t="s">
        <v>2127</v>
      </c>
      <c r="M1195" s="1477">
        <v>2.462E-2</v>
      </c>
      <c r="N1195" s="1478">
        <v>1.4324765927222036</v>
      </c>
      <c r="O1195" s="1478"/>
    </row>
    <row r="1196" spans="11:15">
      <c r="K1196" s="1475">
        <v>43253</v>
      </c>
      <c r="L1196" s="1476"/>
      <c r="M1196" s="1477">
        <v>0</v>
      </c>
      <c r="N1196" s="1478">
        <v>1.4324765927222036</v>
      </c>
      <c r="O1196" s="1478"/>
    </row>
    <row r="1197" spans="11:15">
      <c r="K1197" s="1475">
        <v>43254</v>
      </c>
      <c r="L1197" s="1476"/>
      <c r="M1197" s="1477">
        <v>0</v>
      </c>
      <c r="N1197" s="1478">
        <v>1.4324765927222036</v>
      </c>
      <c r="O1197" s="1478"/>
    </row>
    <row r="1198" spans="11:15">
      <c r="K1198" s="1475">
        <v>43255</v>
      </c>
      <c r="L1198" s="1476" t="s">
        <v>2127</v>
      </c>
      <c r="M1198" s="1477">
        <v>2.462E-2</v>
      </c>
      <c r="N1198" s="1478">
        <v>1.432829268459332</v>
      </c>
      <c r="O1198" s="1478"/>
    </row>
    <row r="1199" spans="11:15">
      <c r="K1199" s="1475">
        <v>43256</v>
      </c>
      <c r="L1199" s="1476" t="s">
        <v>2127</v>
      </c>
      <c r="M1199" s="1477">
        <v>2.462E-2</v>
      </c>
      <c r="N1199" s="1478">
        <v>1.4331820310252268</v>
      </c>
      <c r="O1199" s="1478"/>
    </row>
    <row r="1200" spans="11:15">
      <c r="K1200" s="1475">
        <v>43257</v>
      </c>
      <c r="L1200" s="1476" t="s">
        <v>2127</v>
      </c>
      <c r="M1200" s="1477">
        <v>2.462E-2</v>
      </c>
      <c r="N1200" s="1478">
        <v>1.4335348804412653</v>
      </c>
      <c r="O1200" s="1478"/>
    </row>
    <row r="1201" spans="11:15">
      <c r="K1201" s="1475">
        <v>43258</v>
      </c>
      <c r="L1201" s="1476" t="s">
        <v>2127</v>
      </c>
      <c r="M1201" s="1477">
        <v>2.462E-2</v>
      </c>
      <c r="N1201" s="1478">
        <v>1.43388781672883</v>
      </c>
      <c r="O1201" s="1478"/>
    </row>
    <row r="1202" spans="11:15">
      <c r="K1202" s="1475">
        <v>43259</v>
      </c>
      <c r="L1202" s="1476" t="s">
        <v>2127</v>
      </c>
      <c r="M1202" s="1477">
        <v>2.462E-2</v>
      </c>
      <c r="N1202" s="1478">
        <v>1.4342408399093087</v>
      </c>
      <c r="O1202" s="1478"/>
    </row>
    <row r="1203" spans="11:15">
      <c r="K1203" s="1475">
        <v>43260</v>
      </c>
      <c r="L1203" s="1476"/>
      <c r="M1203" s="1477">
        <v>0</v>
      </c>
      <c r="N1203" s="1478">
        <v>1.4342408399093087</v>
      </c>
      <c r="O1203" s="1478"/>
    </row>
    <row r="1204" spans="11:15">
      <c r="K1204" s="1475">
        <v>43261</v>
      </c>
      <c r="L1204" s="1476"/>
      <c r="M1204" s="1477">
        <v>0</v>
      </c>
      <c r="N1204" s="1478">
        <v>1.4342408399093087</v>
      </c>
      <c r="O1204" s="1478"/>
    </row>
    <row r="1205" spans="11:15">
      <c r="K1205" s="1475">
        <v>43262</v>
      </c>
      <c r="L1205" s="1476" t="s">
        <v>2127</v>
      </c>
      <c r="M1205" s="1477">
        <v>2.462E-2</v>
      </c>
      <c r="N1205" s="1478">
        <v>1.4345939500040945</v>
      </c>
      <c r="O1205" s="1478"/>
    </row>
    <row r="1206" spans="11:15">
      <c r="K1206" s="1475">
        <v>43263</v>
      </c>
      <c r="L1206" s="1476" t="s">
        <v>2127</v>
      </c>
      <c r="M1206" s="1477">
        <v>2.462E-2</v>
      </c>
      <c r="N1206" s="1478">
        <v>1.4349471470345856</v>
      </c>
      <c r="O1206" s="1478"/>
    </row>
    <row r="1207" spans="11:15">
      <c r="K1207" s="1475">
        <v>43264</v>
      </c>
      <c r="L1207" s="1476" t="s">
        <v>2127</v>
      </c>
      <c r="M1207" s="1477">
        <v>2.462E-2</v>
      </c>
      <c r="N1207" s="1478">
        <v>1.4353004310221855</v>
      </c>
      <c r="O1207" s="1478"/>
    </row>
    <row r="1208" spans="11:15">
      <c r="K1208" s="1475">
        <v>43265</v>
      </c>
      <c r="L1208" s="1476" t="s">
        <v>2127</v>
      </c>
      <c r="M1208" s="1477">
        <v>2.462E-2</v>
      </c>
      <c r="N1208" s="1478">
        <v>1.4356538019883034</v>
      </c>
      <c r="O1208" s="1478"/>
    </row>
    <row r="1209" spans="11:15">
      <c r="K1209" s="1475">
        <v>43266</v>
      </c>
      <c r="L1209" s="1476" t="s">
        <v>2127</v>
      </c>
      <c r="M1209" s="1477">
        <v>2.462E-2</v>
      </c>
      <c r="N1209" s="1478">
        <v>1.436007259954353</v>
      </c>
      <c r="O1209" s="1478"/>
    </row>
    <row r="1210" spans="11:15">
      <c r="K1210" s="1475">
        <v>43267</v>
      </c>
      <c r="L1210" s="1476"/>
      <c r="M1210" s="1477">
        <v>0</v>
      </c>
      <c r="N1210" s="1478">
        <v>1.436007259954353</v>
      </c>
      <c r="O1210" s="1478"/>
    </row>
    <row r="1211" spans="11:15">
      <c r="K1211" s="1475">
        <v>43268</v>
      </c>
      <c r="L1211" s="1476"/>
      <c r="M1211" s="1477">
        <v>0</v>
      </c>
      <c r="N1211" s="1478">
        <v>1.436007259954353</v>
      </c>
      <c r="O1211" s="1478"/>
    </row>
    <row r="1212" spans="11:15">
      <c r="K1212" s="1475">
        <v>43269</v>
      </c>
      <c r="L1212" s="1476" t="s">
        <v>2127</v>
      </c>
      <c r="M1212" s="1477">
        <v>2.462E-2</v>
      </c>
      <c r="N1212" s="1478">
        <v>1.4363608049417538</v>
      </c>
      <c r="O1212" s="1478"/>
    </row>
    <row r="1213" spans="11:15">
      <c r="K1213" s="1475">
        <v>43270</v>
      </c>
      <c r="L1213" s="1476" t="s">
        <v>2127</v>
      </c>
      <c r="M1213" s="1477">
        <v>2.462E-2</v>
      </c>
      <c r="N1213" s="1478">
        <v>1.4367144369719305</v>
      </c>
      <c r="O1213" s="1478"/>
    </row>
    <row r="1214" spans="11:15">
      <c r="K1214" s="1475">
        <v>43271</v>
      </c>
      <c r="L1214" s="1476" t="s">
        <v>2127</v>
      </c>
      <c r="M1214" s="1477">
        <v>2.462E-2</v>
      </c>
      <c r="N1214" s="1478">
        <v>1.437068156066313</v>
      </c>
      <c r="O1214" s="1478"/>
    </row>
    <row r="1215" spans="11:15">
      <c r="K1215" s="1475">
        <v>43272</v>
      </c>
      <c r="L1215" s="1476" t="s">
        <v>2127</v>
      </c>
      <c r="M1215" s="1477">
        <v>2.462E-2</v>
      </c>
      <c r="N1215" s="1478">
        <v>1.4374219622463367</v>
      </c>
      <c r="O1215" s="1478"/>
    </row>
    <row r="1216" spans="11:15">
      <c r="K1216" s="1475">
        <v>43273</v>
      </c>
      <c r="L1216" s="1476" t="s">
        <v>2127</v>
      </c>
      <c r="M1216" s="1477">
        <v>2.462E-2</v>
      </c>
      <c r="N1216" s="1478">
        <v>1.4377758555334419</v>
      </c>
      <c r="O1216" s="1478"/>
    </row>
    <row r="1217" spans="11:15">
      <c r="K1217" s="1475">
        <v>43274</v>
      </c>
      <c r="L1217" s="1476"/>
      <c r="M1217" s="1477">
        <v>0</v>
      </c>
      <c r="N1217" s="1478">
        <v>1.4377758555334419</v>
      </c>
      <c r="O1217" s="1478"/>
    </row>
    <row r="1218" spans="11:15">
      <c r="K1218" s="1475">
        <v>43275</v>
      </c>
      <c r="L1218" s="1476"/>
      <c r="M1218" s="1477">
        <v>0</v>
      </c>
      <c r="N1218" s="1478">
        <v>1.4377758555334419</v>
      </c>
      <c r="O1218" s="1478"/>
    </row>
    <row r="1219" spans="11:15">
      <c r="K1219" s="1475">
        <v>43276</v>
      </c>
      <c r="L1219" s="1476" t="s">
        <v>2127</v>
      </c>
      <c r="M1219" s="1477">
        <v>2.462E-2</v>
      </c>
      <c r="N1219" s="1478">
        <v>1.4381298359490744</v>
      </c>
      <c r="O1219" s="1478"/>
    </row>
    <row r="1220" spans="11:15">
      <c r="K1220" s="1475">
        <v>43277</v>
      </c>
      <c r="L1220" s="1476" t="s">
        <v>2127</v>
      </c>
      <c r="M1220" s="1477">
        <v>2.462E-2</v>
      </c>
      <c r="N1220" s="1478">
        <v>1.4384839035146852</v>
      </c>
      <c r="O1220" s="1478"/>
    </row>
    <row r="1221" spans="11:15">
      <c r="K1221" s="1475">
        <v>43278</v>
      </c>
      <c r="L1221" s="1476" t="s">
        <v>2127</v>
      </c>
      <c r="M1221" s="1477">
        <v>2.462E-2</v>
      </c>
      <c r="N1221" s="1478">
        <v>1.4388380582517306</v>
      </c>
      <c r="O1221" s="1478"/>
    </row>
    <row r="1222" spans="11:15">
      <c r="K1222" s="1475">
        <v>43279</v>
      </c>
      <c r="L1222" s="1476" t="s">
        <v>2127</v>
      </c>
      <c r="M1222" s="1477">
        <v>2.462E-2</v>
      </c>
      <c r="N1222" s="1478">
        <v>1.4391923001816722</v>
      </c>
      <c r="O1222" s="1478"/>
    </row>
    <row r="1223" spans="11:15">
      <c r="K1223" s="1475">
        <v>43280</v>
      </c>
      <c r="L1223" s="1476" t="s">
        <v>2127</v>
      </c>
      <c r="M1223" s="1477">
        <v>2.462E-2</v>
      </c>
      <c r="N1223" s="1478">
        <v>1.4395466293259771</v>
      </c>
      <c r="O1223" s="1478"/>
    </row>
    <row r="1224" spans="11:15">
      <c r="K1224" s="1475">
        <v>43281</v>
      </c>
      <c r="L1224" s="1476"/>
      <c r="M1224" s="1477">
        <v>0</v>
      </c>
      <c r="N1224" s="1478">
        <v>1.4395466293259771</v>
      </c>
      <c r="O1224" s="1478"/>
    </row>
    <row r="1225" spans="11:15">
      <c r="K1225" s="1475">
        <v>43282</v>
      </c>
      <c r="L1225" s="1476"/>
      <c r="M1225" s="1477">
        <v>0</v>
      </c>
      <c r="N1225" s="1478">
        <v>1.4395466293259771</v>
      </c>
      <c r="O1225" s="1478"/>
    </row>
    <row r="1226" spans="11:15">
      <c r="K1226" s="1475">
        <v>43283</v>
      </c>
      <c r="L1226" s="1476" t="s">
        <v>2127</v>
      </c>
      <c r="M1226" s="1477">
        <v>2.462E-2</v>
      </c>
      <c r="N1226" s="1478">
        <v>1.4399010457061172</v>
      </c>
      <c r="O1226" s="1478"/>
    </row>
    <row r="1227" spans="11:15">
      <c r="K1227" s="1475">
        <v>43284</v>
      </c>
      <c r="L1227" s="1476" t="s">
        <v>2127</v>
      </c>
      <c r="M1227" s="1477">
        <v>2.462E-2</v>
      </c>
      <c r="N1227" s="1478">
        <v>1.4402555493435703</v>
      </c>
      <c r="O1227" s="1478"/>
    </row>
    <row r="1228" spans="11:15">
      <c r="K1228" s="1475">
        <v>43285</v>
      </c>
      <c r="L1228" s="1476" t="s">
        <v>2127</v>
      </c>
      <c r="M1228" s="1477">
        <v>2.462E-2</v>
      </c>
      <c r="N1228" s="1478">
        <v>1.4406101402598188</v>
      </c>
      <c r="O1228" s="1478"/>
    </row>
    <row r="1229" spans="11:15">
      <c r="K1229" s="1475">
        <v>43286</v>
      </c>
      <c r="L1229" s="1476" t="s">
        <v>2127</v>
      </c>
      <c r="M1229" s="1477">
        <v>2.462E-2</v>
      </c>
      <c r="N1229" s="1478">
        <v>1.4409648184763508</v>
      </c>
      <c r="O1229" s="1478"/>
    </row>
    <row r="1230" spans="11:15">
      <c r="K1230" s="1475">
        <v>43287</v>
      </c>
      <c r="L1230" s="1476" t="s">
        <v>2127</v>
      </c>
      <c r="M1230" s="1477">
        <v>2.462E-2</v>
      </c>
      <c r="N1230" s="1478">
        <v>1.4413195840146598</v>
      </c>
      <c r="O1230" s="1478"/>
    </row>
    <row r="1231" spans="11:15">
      <c r="K1231" s="1475">
        <v>43288</v>
      </c>
      <c r="L1231" s="1476"/>
      <c r="M1231" s="1477">
        <v>0</v>
      </c>
      <c r="N1231" s="1478">
        <v>1.4413195840146598</v>
      </c>
      <c r="O1231" s="1478"/>
    </row>
    <row r="1232" spans="11:15">
      <c r="K1232" s="1475">
        <v>43289</v>
      </c>
      <c r="L1232" s="1476"/>
      <c r="M1232" s="1477">
        <v>0</v>
      </c>
      <c r="N1232" s="1478">
        <v>1.4413195840146598</v>
      </c>
      <c r="O1232" s="1478"/>
    </row>
    <row r="1233" spans="11:15">
      <c r="K1233" s="1475">
        <v>43290</v>
      </c>
      <c r="L1233" s="1476" t="s">
        <v>2127</v>
      </c>
      <c r="M1233" s="1477">
        <v>2.462E-2</v>
      </c>
      <c r="N1233" s="1478">
        <v>1.4416744368962442</v>
      </c>
      <c r="O1233" s="1478"/>
    </row>
    <row r="1234" spans="11:15">
      <c r="K1234" s="1475">
        <v>43291</v>
      </c>
      <c r="L1234" s="1476" t="s">
        <v>2127</v>
      </c>
      <c r="M1234" s="1477">
        <v>2.462E-2</v>
      </c>
      <c r="N1234" s="1478">
        <v>1.4420293771426083</v>
      </c>
      <c r="O1234" s="1478"/>
    </row>
    <row r="1235" spans="11:15">
      <c r="K1235" s="1475">
        <v>43292</v>
      </c>
      <c r="L1235" s="1476" t="s">
        <v>2127</v>
      </c>
      <c r="M1235" s="1477">
        <v>2.462E-2</v>
      </c>
      <c r="N1235" s="1478">
        <v>1.442384404775261</v>
      </c>
      <c r="O1235" s="1478"/>
    </row>
    <row r="1236" spans="11:15">
      <c r="K1236" s="1475">
        <v>43293</v>
      </c>
      <c r="L1236" s="1476" t="s">
        <v>2127</v>
      </c>
      <c r="M1236" s="1477">
        <v>2.462E-2</v>
      </c>
      <c r="N1236" s="1478">
        <v>1.4427395198157167</v>
      </c>
      <c r="O1236" s="1478"/>
    </row>
    <row r="1237" spans="11:15">
      <c r="K1237" s="1475">
        <v>43294</v>
      </c>
      <c r="L1237" s="1476" t="s">
        <v>2127</v>
      </c>
      <c r="M1237" s="1477">
        <v>2.462E-2</v>
      </c>
      <c r="N1237" s="1478">
        <v>1.4430947222854955</v>
      </c>
      <c r="O1237" s="1478"/>
    </row>
    <row r="1238" spans="11:15">
      <c r="K1238" s="1475">
        <v>43295</v>
      </c>
      <c r="L1238" s="1476"/>
      <c r="M1238" s="1477">
        <v>0</v>
      </c>
      <c r="N1238" s="1478">
        <v>1.4430947222854955</v>
      </c>
      <c r="O1238" s="1478"/>
    </row>
    <row r="1239" spans="11:15">
      <c r="K1239" s="1475">
        <v>43296</v>
      </c>
      <c r="L1239" s="1476"/>
      <c r="M1239" s="1477">
        <v>0</v>
      </c>
      <c r="N1239" s="1478">
        <v>1.4430947222854955</v>
      </c>
      <c r="O1239" s="1478"/>
    </row>
    <row r="1240" spans="11:15">
      <c r="K1240" s="1475">
        <v>43297</v>
      </c>
      <c r="L1240" s="1476" t="s">
        <v>2127</v>
      </c>
      <c r="M1240" s="1477">
        <v>2.462E-2</v>
      </c>
      <c r="N1240" s="1478">
        <v>1.4434500122061222</v>
      </c>
      <c r="O1240" s="1478"/>
    </row>
    <row r="1241" spans="11:15">
      <c r="K1241" s="1475">
        <v>43298</v>
      </c>
      <c r="L1241" s="1476" t="s">
        <v>2127</v>
      </c>
      <c r="M1241" s="1477">
        <v>2.462E-2</v>
      </c>
      <c r="N1241" s="1478">
        <v>1.4438053895991274</v>
      </c>
      <c r="O1241" s="1478"/>
    </row>
    <row r="1242" spans="11:15">
      <c r="K1242" s="1475">
        <v>43299</v>
      </c>
      <c r="L1242" s="1476" t="s">
        <v>2127</v>
      </c>
      <c r="M1242" s="1477">
        <v>2.462E-2</v>
      </c>
      <c r="N1242" s="1478">
        <v>1.4441608544860469</v>
      </c>
      <c r="O1242" s="1478"/>
    </row>
    <row r="1243" spans="11:15">
      <c r="K1243" s="1475">
        <v>43300</v>
      </c>
      <c r="L1243" s="1476" t="s">
        <v>2127</v>
      </c>
      <c r="M1243" s="1477">
        <v>2.462E-2</v>
      </c>
      <c r="N1243" s="1478">
        <v>1.4445164068884215</v>
      </c>
      <c r="O1243" s="1478"/>
    </row>
    <row r="1244" spans="11:15">
      <c r="K1244" s="1475">
        <v>43301</v>
      </c>
      <c r="L1244" s="1476" t="s">
        <v>2127</v>
      </c>
      <c r="M1244" s="1477">
        <v>2.462E-2</v>
      </c>
      <c r="N1244" s="1478">
        <v>1.4448720468277976</v>
      </c>
      <c r="O1244" s="1478"/>
    </row>
    <row r="1245" spans="11:15">
      <c r="K1245" s="1475">
        <v>43302</v>
      </c>
      <c r="L1245" s="1476"/>
      <c r="M1245" s="1477">
        <v>0</v>
      </c>
      <c r="N1245" s="1478">
        <v>1.4448720468277976</v>
      </c>
      <c r="O1245" s="1478"/>
    </row>
    <row r="1246" spans="11:15">
      <c r="K1246" s="1475">
        <v>43303</v>
      </c>
      <c r="L1246" s="1476"/>
      <c r="M1246" s="1477">
        <v>0</v>
      </c>
      <c r="N1246" s="1478">
        <v>1.4448720468277976</v>
      </c>
      <c r="O1246" s="1478"/>
    </row>
    <row r="1247" spans="11:15">
      <c r="K1247" s="1475">
        <v>43304</v>
      </c>
      <c r="L1247" s="1476" t="s">
        <v>2127</v>
      </c>
      <c r="M1247" s="1477">
        <v>2.462E-2</v>
      </c>
      <c r="N1247" s="1478">
        <v>1.4452277743257267</v>
      </c>
      <c r="O1247" s="1478"/>
    </row>
    <row r="1248" spans="11:15">
      <c r="K1248" s="1475">
        <v>43305</v>
      </c>
      <c r="L1248" s="1476" t="s">
        <v>2127</v>
      </c>
      <c r="M1248" s="1477">
        <v>2.462E-2</v>
      </c>
      <c r="N1248" s="1478">
        <v>1.4455835894037659</v>
      </c>
      <c r="O1248" s="1478"/>
    </row>
    <row r="1249" spans="11:15">
      <c r="K1249" s="1475">
        <v>43306</v>
      </c>
      <c r="L1249" s="1476" t="s">
        <v>2127</v>
      </c>
      <c r="M1249" s="1477">
        <v>2.462E-2</v>
      </c>
      <c r="N1249" s="1478">
        <v>1.4459394920834772</v>
      </c>
      <c r="O1249" s="1478"/>
    </row>
    <row r="1250" spans="11:15">
      <c r="K1250" s="1475">
        <v>43307</v>
      </c>
      <c r="L1250" s="1476" t="s">
        <v>2127</v>
      </c>
      <c r="M1250" s="1477">
        <v>2.462E-2</v>
      </c>
      <c r="N1250" s="1478">
        <v>1.4462954823864282</v>
      </c>
      <c r="O1250" s="1478"/>
    </row>
    <row r="1251" spans="11:15">
      <c r="K1251" s="1475">
        <v>43308</v>
      </c>
      <c r="L1251" s="1476" t="s">
        <v>2127</v>
      </c>
      <c r="M1251" s="1477">
        <v>2.462E-2</v>
      </c>
      <c r="N1251" s="1478">
        <v>1.4466515603341918</v>
      </c>
      <c r="O1251" s="1478"/>
    </row>
    <row r="1252" spans="11:15">
      <c r="K1252" s="1475">
        <v>43309</v>
      </c>
      <c r="L1252" s="1476"/>
      <c r="M1252" s="1477">
        <v>0</v>
      </c>
      <c r="N1252" s="1478">
        <v>1.4466515603341918</v>
      </c>
      <c r="O1252" s="1478"/>
    </row>
    <row r="1253" spans="11:15">
      <c r="K1253" s="1475">
        <v>43310</v>
      </c>
      <c r="L1253" s="1476"/>
      <c r="M1253" s="1477">
        <v>0</v>
      </c>
      <c r="N1253" s="1478">
        <v>1.4466515603341918</v>
      </c>
      <c r="O1253" s="1478"/>
    </row>
    <row r="1254" spans="11:15">
      <c r="K1254" s="1475">
        <v>43311</v>
      </c>
      <c r="L1254" s="1476" t="s">
        <v>2127</v>
      </c>
      <c r="M1254" s="1477">
        <v>2.462E-2</v>
      </c>
      <c r="N1254" s="1478">
        <v>1.4470077259483463</v>
      </c>
      <c r="O1254" s="1478"/>
    </row>
    <row r="1255" spans="11:15">
      <c r="K1255" s="1475">
        <v>43312</v>
      </c>
      <c r="L1255" s="1476" t="s">
        <v>2127</v>
      </c>
      <c r="M1255" s="1477">
        <v>2.462E-2</v>
      </c>
      <c r="N1255" s="1478">
        <v>1.4473639792504749</v>
      </c>
      <c r="O1255" s="1478"/>
    </row>
    <row r="1256" spans="11:15">
      <c r="K1256" s="1475">
        <v>43313</v>
      </c>
      <c r="L1256" s="1476" t="s">
        <v>2127</v>
      </c>
      <c r="M1256" s="1477">
        <v>2.462E-2</v>
      </c>
      <c r="N1256" s="1478">
        <v>1.4477203202621665</v>
      </c>
      <c r="O1256" s="1478"/>
    </row>
    <row r="1257" spans="11:15">
      <c r="K1257" s="1475">
        <v>43314</v>
      </c>
      <c r="L1257" s="1476" t="s">
        <v>2127</v>
      </c>
      <c r="M1257" s="1477">
        <v>2.462E-2</v>
      </c>
      <c r="N1257" s="1478">
        <v>1.448076749005015</v>
      </c>
      <c r="O1257" s="1478"/>
    </row>
    <row r="1258" spans="11:15">
      <c r="K1258" s="1475">
        <v>43315</v>
      </c>
      <c r="L1258" s="1476" t="s">
        <v>2127</v>
      </c>
      <c r="M1258" s="1477">
        <v>2.462E-2</v>
      </c>
      <c r="N1258" s="1478">
        <v>1.4484332655006202</v>
      </c>
      <c r="O1258" s="1478"/>
    </row>
    <row r="1259" spans="11:15">
      <c r="K1259" s="1475">
        <v>43316</v>
      </c>
      <c r="L1259" s="1476"/>
      <c r="M1259" s="1477">
        <v>0</v>
      </c>
      <c r="N1259" s="1478">
        <v>1.4484332655006202</v>
      </c>
      <c r="O1259" s="1478"/>
    </row>
    <row r="1260" spans="11:15">
      <c r="K1260" s="1475">
        <v>43317</v>
      </c>
      <c r="L1260" s="1476"/>
      <c r="M1260" s="1477">
        <v>0</v>
      </c>
      <c r="N1260" s="1478">
        <v>1.4484332655006202</v>
      </c>
      <c r="O1260" s="1478"/>
    </row>
    <row r="1261" spans="11:15">
      <c r="K1261" s="1475">
        <v>43318</v>
      </c>
      <c r="L1261" s="1476" t="s">
        <v>2127</v>
      </c>
      <c r="M1261" s="1477">
        <v>2.462E-2</v>
      </c>
      <c r="N1261" s="1478">
        <v>1.4487898697705865</v>
      </c>
      <c r="O1261" s="1478"/>
    </row>
    <row r="1262" spans="11:15">
      <c r="K1262" s="1475">
        <v>43319</v>
      </c>
      <c r="L1262" s="1476" t="s">
        <v>2127</v>
      </c>
      <c r="M1262" s="1477">
        <v>2.462E-2</v>
      </c>
      <c r="N1262" s="1478">
        <v>1.4491465618365242</v>
      </c>
      <c r="O1262" s="1478"/>
    </row>
    <row r="1263" spans="11:15">
      <c r="K1263" s="1475">
        <v>43320</v>
      </c>
      <c r="L1263" s="1476" t="s">
        <v>2127</v>
      </c>
      <c r="M1263" s="1477">
        <v>2.462E-2</v>
      </c>
      <c r="N1263" s="1478">
        <v>1.4495033417200485</v>
      </c>
      <c r="O1263" s="1478"/>
    </row>
    <row r="1264" spans="11:15">
      <c r="K1264" s="1475">
        <v>43321</v>
      </c>
      <c r="L1264" s="1476" t="s">
        <v>2127</v>
      </c>
      <c r="M1264" s="1477">
        <v>2.462E-2</v>
      </c>
      <c r="N1264" s="1478">
        <v>1.4498602094427802</v>
      </c>
      <c r="O1264" s="1478"/>
    </row>
    <row r="1265" spans="11:15">
      <c r="K1265" s="1475">
        <v>43322</v>
      </c>
      <c r="L1265" s="1476" t="s">
        <v>2127</v>
      </c>
      <c r="M1265" s="1477">
        <v>2.462E-2</v>
      </c>
      <c r="N1265" s="1478">
        <v>1.4502171650263451</v>
      </c>
      <c r="O1265" s="1478"/>
    </row>
    <row r="1266" spans="11:15">
      <c r="K1266" s="1475">
        <v>43323</v>
      </c>
      <c r="L1266" s="1476"/>
      <c r="M1266" s="1477">
        <v>0</v>
      </c>
      <c r="N1266" s="1478">
        <v>1.4502171650263451</v>
      </c>
      <c r="O1266" s="1478"/>
    </row>
    <row r="1267" spans="11:15">
      <c r="K1267" s="1475">
        <v>43324</v>
      </c>
      <c r="L1267" s="1476"/>
      <c r="M1267" s="1477">
        <v>0</v>
      </c>
      <c r="N1267" s="1478">
        <v>1.4502171650263451</v>
      </c>
      <c r="O1267" s="1478"/>
    </row>
    <row r="1268" spans="11:15">
      <c r="K1268" s="1475">
        <v>43325</v>
      </c>
      <c r="L1268" s="1476" t="s">
        <v>2127</v>
      </c>
      <c r="M1268" s="1477">
        <v>2.462E-2</v>
      </c>
      <c r="N1268" s="1478">
        <v>1.4505742084923747</v>
      </c>
      <c r="O1268" s="1478"/>
    </row>
    <row r="1269" spans="11:15">
      <c r="K1269" s="1475">
        <v>43326</v>
      </c>
      <c r="L1269" s="1476" t="s">
        <v>2127</v>
      </c>
      <c r="M1269" s="1477">
        <v>2.462E-2</v>
      </c>
      <c r="N1269" s="1478">
        <v>1.4509313398625057</v>
      </c>
      <c r="O1269" s="1478"/>
    </row>
    <row r="1270" spans="11:15">
      <c r="K1270" s="1475">
        <v>43327</v>
      </c>
      <c r="L1270" s="1476" t="s">
        <v>2127</v>
      </c>
      <c r="M1270" s="1477">
        <v>2.462E-2</v>
      </c>
      <c r="N1270" s="1478">
        <v>1.45128855915838</v>
      </c>
      <c r="O1270" s="1478"/>
    </row>
    <row r="1271" spans="11:15">
      <c r="K1271" s="1475">
        <v>43328</v>
      </c>
      <c r="L1271" s="1476" t="s">
        <v>2127</v>
      </c>
      <c r="M1271" s="1477">
        <v>2.462E-2</v>
      </c>
      <c r="N1271" s="1478">
        <v>1.4516458664016449</v>
      </c>
      <c r="O1271" s="1478"/>
    </row>
    <row r="1272" spans="11:15">
      <c r="K1272" s="1475">
        <v>43329</v>
      </c>
      <c r="L1272" s="1476" t="s">
        <v>2127</v>
      </c>
      <c r="M1272" s="1477">
        <v>2.462E-2</v>
      </c>
      <c r="N1272" s="1478">
        <v>1.4520032616139531</v>
      </c>
      <c r="O1272" s="1478"/>
    </row>
    <row r="1273" spans="11:15">
      <c r="K1273" s="1475">
        <v>43330</v>
      </c>
      <c r="L1273" s="1476"/>
      <c r="M1273" s="1477">
        <v>0</v>
      </c>
      <c r="N1273" s="1478">
        <v>1.4520032616139531</v>
      </c>
      <c r="O1273" s="1478"/>
    </row>
    <row r="1274" spans="11:15">
      <c r="K1274" s="1475">
        <v>43331</v>
      </c>
      <c r="L1274" s="1476"/>
      <c r="M1274" s="1477">
        <v>0</v>
      </c>
      <c r="N1274" s="1478">
        <v>1.4520032616139531</v>
      </c>
      <c r="O1274" s="1478"/>
    </row>
    <row r="1275" spans="11:15">
      <c r="K1275" s="1475">
        <v>43332</v>
      </c>
      <c r="L1275" s="1476" t="s">
        <v>2127</v>
      </c>
      <c r="M1275" s="1477">
        <v>2.462E-2</v>
      </c>
      <c r="N1275" s="1478">
        <v>1.4523607448169626</v>
      </c>
      <c r="O1275" s="1478"/>
    </row>
    <row r="1276" spans="11:15">
      <c r="K1276" s="1475">
        <v>43333</v>
      </c>
      <c r="L1276" s="1476" t="s">
        <v>2127</v>
      </c>
      <c r="M1276" s="1477">
        <v>2.462E-2</v>
      </c>
      <c r="N1276" s="1478">
        <v>1.4527183160323367</v>
      </c>
      <c r="O1276" s="1478"/>
    </row>
    <row r="1277" spans="11:15">
      <c r="K1277" s="1475">
        <v>43334</v>
      </c>
      <c r="L1277" s="1476" t="s">
        <v>2127</v>
      </c>
      <c r="M1277" s="1477">
        <v>2.462E-2</v>
      </c>
      <c r="N1277" s="1478">
        <v>1.4530759752817439</v>
      </c>
      <c r="O1277" s="1478"/>
    </row>
    <row r="1278" spans="11:15">
      <c r="K1278" s="1475">
        <v>43335</v>
      </c>
      <c r="L1278" s="1476" t="s">
        <v>2127</v>
      </c>
      <c r="M1278" s="1477">
        <v>2.462E-2</v>
      </c>
      <c r="N1278" s="1478">
        <v>1.4534337225868583</v>
      </c>
      <c r="O1278" s="1478"/>
    </row>
    <row r="1279" spans="11:15">
      <c r="K1279" s="1475">
        <v>43336</v>
      </c>
      <c r="L1279" s="1476" t="s">
        <v>2127</v>
      </c>
      <c r="M1279" s="1477">
        <v>2.462E-2</v>
      </c>
      <c r="N1279" s="1478">
        <v>1.4537915579693594</v>
      </c>
      <c r="O1279" s="1478"/>
    </row>
    <row r="1280" spans="11:15">
      <c r="K1280" s="1475">
        <v>43337</v>
      </c>
      <c r="L1280" s="1476"/>
      <c r="M1280" s="1477">
        <v>0</v>
      </c>
      <c r="N1280" s="1478">
        <v>1.4537915579693594</v>
      </c>
      <c r="O1280" s="1478"/>
    </row>
    <row r="1281" spans="11:15">
      <c r="K1281" s="1475">
        <v>43338</v>
      </c>
      <c r="L1281" s="1476"/>
      <c r="M1281" s="1477">
        <v>0</v>
      </c>
      <c r="N1281" s="1478">
        <v>1.4537915579693594</v>
      </c>
      <c r="O1281" s="1478"/>
    </row>
    <row r="1282" spans="11:15">
      <c r="K1282" s="1475">
        <v>43339</v>
      </c>
      <c r="L1282" s="1476" t="s">
        <v>2127</v>
      </c>
      <c r="M1282" s="1477">
        <v>2.462E-2</v>
      </c>
      <c r="N1282" s="1478">
        <v>1.4541494814509317</v>
      </c>
      <c r="O1282" s="1478"/>
    </row>
    <row r="1283" spans="11:15">
      <c r="K1283" s="1475">
        <v>43340</v>
      </c>
      <c r="L1283" s="1476" t="s">
        <v>2127</v>
      </c>
      <c r="M1283" s="1477">
        <v>2.462E-2</v>
      </c>
      <c r="N1283" s="1478">
        <v>1.4545074930532651</v>
      </c>
      <c r="O1283" s="1478"/>
    </row>
    <row r="1284" spans="11:15">
      <c r="K1284" s="1475">
        <v>43341</v>
      </c>
      <c r="L1284" s="1476" t="s">
        <v>2127</v>
      </c>
      <c r="M1284" s="1477">
        <v>2.462E-2</v>
      </c>
      <c r="N1284" s="1478">
        <v>1.4548655927980549</v>
      </c>
      <c r="O1284" s="1478"/>
    </row>
    <row r="1285" spans="11:15">
      <c r="K1285" s="1475">
        <v>43342</v>
      </c>
      <c r="L1285" s="1476" t="s">
        <v>2127</v>
      </c>
      <c r="M1285" s="1477">
        <v>2.462E-2</v>
      </c>
      <c r="N1285" s="1478">
        <v>1.4552237807070019</v>
      </c>
      <c r="O1285" s="1478"/>
    </row>
    <row r="1286" spans="11:15">
      <c r="K1286" s="1475">
        <v>43343</v>
      </c>
      <c r="L1286" s="1476" t="s">
        <v>2127</v>
      </c>
      <c r="M1286" s="1477">
        <v>2.462E-2</v>
      </c>
      <c r="N1286" s="1478">
        <v>1.4555820568018121</v>
      </c>
      <c r="O1286" s="1478"/>
    </row>
    <row r="1287" spans="11:15">
      <c r="K1287" s="1475">
        <v>43344</v>
      </c>
      <c r="L1287" s="1476"/>
      <c r="M1287" s="1477">
        <v>0</v>
      </c>
      <c r="N1287" s="1478">
        <v>1.4555820568018121</v>
      </c>
      <c r="O1287" s="1478"/>
    </row>
    <row r="1288" spans="11:15">
      <c r="K1288" s="1475">
        <v>43345</v>
      </c>
      <c r="L1288" s="1476"/>
      <c r="M1288" s="1477">
        <v>0</v>
      </c>
      <c r="N1288" s="1478">
        <v>1.4555820568018121</v>
      </c>
      <c r="O1288" s="1478"/>
    </row>
    <row r="1289" spans="11:15">
      <c r="K1289" s="1475">
        <v>43346</v>
      </c>
      <c r="L1289" s="1476" t="s">
        <v>2127</v>
      </c>
      <c r="M1289" s="1477">
        <v>2.462E-2</v>
      </c>
      <c r="N1289" s="1478">
        <v>1.4559404211041969</v>
      </c>
      <c r="O1289" s="1478"/>
    </row>
    <row r="1290" spans="11:15">
      <c r="K1290" s="1475">
        <v>43347</v>
      </c>
      <c r="L1290" s="1476" t="s">
        <v>2127</v>
      </c>
      <c r="M1290" s="1477">
        <v>2.462E-2</v>
      </c>
      <c r="N1290" s="1478">
        <v>1.4562988736358728</v>
      </c>
      <c r="O1290" s="1478"/>
    </row>
    <row r="1291" spans="11:15">
      <c r="K1291" s="1475">
        <v>43348</v>
      </c>
      <c r="L1291" s="1476" t="s">
        <v>2127</v>
      </c>
      <c r="M1291" s="1477">
        <v>2.462E-2</v>
      </c>
      <c r="N1291" s="1478">
        <v>1.4566574144185622</v>
      </c>
      <c r="O1291" s="1478"/>
    </row>
    <row r="1292" spans="11:15">
      <c r="K1292" s="1475">
        <v>43349</v>
      </c>
      <c r="L1292" s="1476" t="s">
        <v>2127</v>
      </c>
      <c r="M1292" s="1477">
        <v>2.462E-2</v>
      </c>
      <c r="N1292" s="1478">
        <v>1.4570160434739923</v>
      </c>
      <c r="O1292" s="1478"/>
    </row>
    <row r="1293" spans="11:15">
      <c r="K1293" s="1475">
        <v>43350</v>
      </c>
      <c r="L1293" s="1476"/>
      <c r="M1293" s="1477">
        <v>0</v>
      </c>
      <c r="N1293" s="1478">
        <v>1.4570160434739923</v>
      </c>
      <c r="O1293" s="1478"/>
    </row>
    <row r="1294" spans="11:15">
      <c r="K1294" s="1475">
        <v>43351</v>
      </c>
      <c r="L1294" s="1476"/>
      <c r="M1294" s="1477">
        <v>0</v>
      </c>
      <c r="N1294" s="1478">
        <v>1.4570160434739923</v>
      </c>
      <c r="O1294" s="1478"/>
    </row>
    <row r="1295" spans="11:15">
      <c r="K1295" s="1475">
        <v>43352</v>
      </c>
      <c r="L1295" s="1476"/>
      <c r="M1295" s="1477">
        <v>0</v>
      </c>
      <c r="N1295" s="1478">
        <v>1.4570160434739923</v>
      </c>
      <c r="O1295" s="1478"/>
    </row>
    <row r="1296" spans="11:15">
      <c r="K1296" s="1475">
        <v>43353</v>
      </c>
      <c r="L1296" s="1476" t="s">
        <v>2127</v>
      </c>
      <c r="M1296" s="1477">
        <v>2.462E-2</v>
      </c>
      <c r="N1296" s="1478">
        <v>1.4573747608238956</v>
      </c>
      <c r="O1296" s="1478"/>
    </row>
    <row r="1297" spans="11:15">
      <c r="K1297" s="1475">
        <v>43354</v>
      </c>
      <c r="L1297" s="1476" t="s">
        <v>2127</v>
      </c>
      <c r="M1297" s="1477">
        <v>2.462E-2</v>
      </c>
      <c r="N1297" s="1478">
        <v>1.4577335664900106</v>
      </c>
      <c r="O1297" s="1478"/>
    </row>
    <row r="1298" spans="11:15">
      <c r="K1298" s="1475">
        <v>43355</v>
      </c>
      <c r="L1298" s="1476" t="s">
        <v>2127</v>
      </c>
      <c r="M1298" s="1477">
        <v>2.462E-2</v>
      </c>
      <c r="N1298" s="1478">
        <v>1.4580924604940806</v>
      </c>
      <c r="O1298" s="1478"/>
    </row>
    <row r="1299" spans="11:15">
      <c r="K1299" s="1475">
        <v>43356</v>
      </c>
      <c r="L1299" s="1476" t="s">
        <v>2127</v>
      </c>
      <c r="M1299" s="1477">
        <v>2.462E-2</v>
      </c>
      <c r="N1299" s="1478">
        <v>1.4584514428578543</v>
      </c>
      <c r="O1299" s="1478"/>
    </row>
    <row r="1300" spans="11:15">
      <c r="K1300" s="1475">
        <v>43357</v>
      </c>
      <c r="L1300" s="1476" t="s">
        <v>2127</v>
      </c>
      <c r="M1300" s="1477">
        <v>2.462E-2</v>
      </c>
      <c r="N1300" s="1478">
        <v>1.458810513603086</v>
      </c>
      <c r="O1300" s="1478"/>
    </row>
    <row r="1301" spans="11:15">
      <c r="K1301" s="1475">
        <v>43358</v>
      </c>
      <c r="L1301" s="1476"/>
      <c r="M1301" s="1477">
        <v>0</v>
      </c>
      <c r="N1301" s="1478">
        <v>1.458810513603086</v>
      </c>
      <c r="O1301" s="1478"/>
    </row>
    <row r="1302" spans="11:15">
      <c r="K1302" s="1475">
        <v>43359</v>
      </c>
      <c r="L1302" s="1476"/>
      <c r="M1302" s="1477">
        <v>0</v>
      </c>
      <c r="N1302" s="1478">
        <v>1.458810513603086</v>
      </c>
      <c r="O1302" s="1478"/>
    </row>
    <row r="1303" spans="11:15">
      <c r="K1303" s="1475">
        <v>43360</v>
      </c>
      <c r="L1303" s="1476" t="s">
        <v>2127</v>
      </c>
      <c r="M1303" s="1477">
        <v>2.462E-2</v>
      </c>
      <c r="N1303" s="1478">
        <v>1.4591696727515353</v>
      </c>
      <c r="O1303" s="1478"/>
    </row>
    <row r="1304" spans="11:15">
      <c r="K1304" s="1475">
        <v>43361</v>
      </c>
      <c r="L1304" s="1476" t="s">
        <v>2127</v>
      </c>
      <c r="M1304" s="1477">
        <v>2.462E-2</v>
      </c>
      <c r="N1304" s="1478">
        <v>1.4595289203249668</v>
      </c>
      <c r="O1304" s="1478"/>
    </row>
    <row r="1305" spans="11:15">
      <c r="K1305" s="1475">
        <v>43362</v>
      </c>
      <c r="L1305" s="1476" t="s">
        <v>2127</v>
      </c>
      <c r="M1305" s="1477">
        <v>2.462E-2</v>
      </c>
      <c r="N1305" s="1478">
        <v>1.459888256345151</v>
      </c>
      <c r="O1305" s="1478"/>
    </row>
    <row r="1306" spans="11:15">
      <c r="K1306" s="1475">
        <v>43363</v>
      </c>
      <c r="L1306" s="1476" t="s">
        <v>2127</v>
      </c>
      <c r="M1306" s="1477">
        <v>2.462E-2</v>
      </c>
      <c r="N1306" s="1478">
        <v>1.4602476808338634</v>
      </c>
      <c r="O1306" s="1478"/>
    </row>
    <row r="1307" spans="11:15">
      <c r="K1307" s="1475">
        <v>43364</v>
      </c>
      <c r="L1307" s="1476" t="s">
        <v>2127</v>
      </c>
      <c r="M1307" s="1477">
        <v>2.462E-2</v>
      </c>
      <c r="N1307" s="1478">
        <v>1.4606071938128848</v>
      </c>
      <c r="O1307" s="1478"/>
    </row>
    <row r="1308" spans="11:15">
      <c r="K1308" s="1475">
        <v>43365</v>
      </c>
      <c r="L1308" s="1476"/>
      <c r="M1308" s="1477">
        <v>0</v>
      </c>
      <c r="N1308" s="1478">
        <v>1.4606071938128848</v>
      </c>
      <c r="O1308" s="1478"/>
    </row>
    <row r="1309" spans="11:15">
      <c r="K1309" s="1475">
        <v>43366</v>
      </c>
      <c r="L1309" s="1476"/>
      <c r="M1309" s="1477">
        <v>0</v>
      </c>
      <c r="N1309" s="1478">
        <v>1.4606071938128848</v>
      </c>
      <c r="O1309" s="1478"/>
    </row>
    <row r="1310" spans="11:15">
      <c r="K1310" s="1475">
        <v>43367</v>
      </c>
      <c r="L1310" s="1476" t="s">
        <v>2127</v>
      </c>
      <c r="M1310" s="1477">
        <v>2.462E-2</v>
      </c>
      <c r="N1310" s="1478">
        <v>1.4609667953040018</v>
      </c>
      <c r="O1310" s="1478"/>
    </row>
    <row r="1311" spans="11:15">
      <c r="K1311" s="1475">
        <v>43368</v>
      </c>
      <c r="L1311" s="1476" t="s">
        <v>2127</v>
      </c>
      <c r="M1311" s="1477">
        <v>2.462E-2</v>
      </c>
      <c r="N1311" s="1478">
        <v>1.4613264853290058</v>
      </c>
      <c r="O1311" s="1478"/>
    </row>
    <row r="1312" spans="11:15">
      <c r="K1312" s="1475">
        <v>43369</v>
      </c>
      <c r="L1312" s="1476" t="s">
        <v>2127</v>
      </c>
      <c r="M1312" s="1477">
        <v>2.462E-2</v>
      </c>
      <c r="N1312" s="1478">
        <v>1.4616862639096939</v>
      </c>
      <c r="O1312" s="1478"/>
    </row>
    <row r="1313" spans="11:15">
      <c r="K1313" s="1475">
        <v>43370</v>
      </c>
      <c r="L1313" s="1476" t="s">
        <v>2127</v>
      </c>
      <c r="M1313" s="1477">
        <v>2.462E-2</v>
      </c>
      <c r="N1313" s="1478">
        <v>1.4620461310678685</v>
      </c>
      <c r="O1313" s="1478"/>
    </row>
    <row r="1314" spans="11:15">
      <c r="K1314" s="1475">
        <v>43371</v>
      </c>
      <c r="L1314" s="1476" t="s">
        <v>2127</v>
      </c>
      <c r="M1314" s="1477">
        <v>2.462E-2</v>
      </c>
      <c r="N1314" s="1478">
        <v>1.4624060868253375</v>
      </c>
      <c r="O1314" s="1478"/>
    </row>
    <row r="1315" spans="11:15">
      <c r="K1315" s="1475">
        <v>43372</v>
      </c>
      <c r="L1315" s="1476"/>
      <c r="M1315" s="1477">
        <v>0</v>
      </c>
      <c r="N1315" s="1478">
        <v>1.4624060868253375</v>
      </c>
      <c r="O1315" s="1478"/>
    </row>
    <row r="1316" spans="11:15">
      <c r="K1316" s="1475">
        <v>43373</v>
      </c>
      <c r="L1316" s="1476"/>
      <c r="M1316" s="1477">
        <v>0</v>
      </c>
      <c r="N1316" s="1478">
        <v>1.4624060868253375</v>
      </c>
      <c r="O1316" s="1478"/>
    </row>
    <row r="1317" spans="11:15">
      <c r="K1317" s="1475">
        <v>43374</v>
      </c>
      <c r="L1317" s="1476" t="s">
        <v>2127</v>
      </c>
      <c r="M1317" s="1477">
        <v>2.462E-2</v>
      </c>
      <c r="N1317" s="1478">
        <v>1.462766131203914</v>
      </c>
      <c r="O1317" s="1478"/>
    </row>
    <row r="1318" spans="11:15">
      <c r="K1318" s="1475">
        <v>43375</v>
      </c>
      <c r="L1318" s="1476" t="s">
        <v>2127</v>
      </c>
      <c r="M1318" s="1477">
        <v>2.462E-2</v>
      </c>
      <c r="N1318" s="1478">
        <v>1.4631262642254166</v>
      </c>
      <c r="O1318" s="1478"/>
    </row>
    <row r="1319" spans="11:15">
      <c r="K1319" s="1475">
        <v>43376</v>
      </c>
      <c r="L1319" s="1476" t="s">
        <v>2127</v>
      </c>
      <c r="M1319" s="1477">
        <v>2.462E-2</v>
      </c>
      <c r="N1319" s="1478">
        <v>1.463486485911669</v>
      </c>
      <c r="O1319" s="1478"/>
    </row>
    <row r="1320" spans="11:15">
      <c r="K1320" s="1475">
        <v>43377</v>
      </c>
      <c r="L1320" s="1476" t="s">
        <v>2127</v>
      </c>
      <c r="M1320" s="1477">
        <v>2.462E-2</v>
      </c>
      <c r="N1320" s="1478">
        <v>1.4638467962845005</v>
      </c>
      <c r="O1320" s="1478"/>
    </row>
    <row r="1321" spans="11:15">
      <c r="K1321" s="1475">
        <v>43378</v>
      </c>
      <c r="L1321" s="1476" t="s">
        <v>2127</v>
      </c>
      <c r="M1321" s="1477">
        <v>2.462E-2</v>
      </c>
      <c r="N1321" s="1478">
        <v>1.4642071953657458</v>
      </c>
      <c r="O1321" s="1478"/>
    </row>
    <row r="1322" spans="11:15">
      <c r="K1322" s="1475">
        <v>43379</v>
      </c>
      <c r="L1322" s="1476"/>
      <c r="M1322" s="1477">
        <v>0</v>
      </c>
      <c r="N1322" s="1478">
        <v>1.4642071953657458</v>
      </c>
      <c r="O1322" s="1478"/>
    </row>
    <row r="1323" spans="11:15">
      <c r="K1323" s="1475">
        <v>43380</v>
      </c>
      <c r="L1323" s="1476"/>
      <c r="M1323" s="1477">
        <v>0</v>
      </c>
      <c r="N1323" s="1478">
        <v>1.4642071953657458</v>
      </c>
      <c r="O1323" s="1478"/>
    </row>
    <row r="1324" spans="11:15">
      <c r="K1324" s="1475">
        <v>43381</v>
      </c>
      <c r="L1324" s="1476" t="s">
        <v>2127</v>
      </c>
      <c r="M1324" s="1477">
        <v>2.462E-2</v>
      </c>
      <c r="N1324" s="1478">
        <v>1.4645676831772449</v>
      </c>
      <c r="O1324" s="1478"/>
    </row>
    <row r="1325" spans="11:15">
      <c r="K1325" s="1475">
        <v>43382</v>
      </c>
      <c r="L1325" s="1476" t="s">
        <v>2127</v>
      </c>
      <c r="M1325" s="1477">
        <v>2.462E-2</v>
      </c>
      <c r="N1325" s="1478">
        <v>1.4649282597408433</v>
      </c>
      <c r="O1325" s="1478"/>
    </row>
    <row r="1326" spans="11:15">
      <c r="K1326" s="1475">
        <v>43383</v>
      </c>
      <c r="L1326" s="1476" t="s">
        <v>2127</v>
      </c>
      <c r="M1326" s="1477">
        <v>2.462E-2</v>
      </c>
      <c r="N1326" s="1478">
        <v>1.4652889250783916</v>
      </c>
      <c r="O1326" s="1478"/>
    </row>
    <row r="1327" spans="11:15">
      <c r="K1327" s="1475">
        <v>43384</v>
      </c>
      <c r="L1327" s="1476" t="s">
        <v>2127</v>
      </c>
      <c r="M1327" s="1477">
        <v>2.462E-2</v>
      </c>
      <c r="N1327" s="1478">
        <v>1.4656496792117459</v>
      </c>
      <c r="O1327" s="1478"/>
    </row>
    <row r="1328" spans="11:15">
      <c r="K1328" s="1475">
        <v>43385</v>
      </c>
      <c r="L1328" s="1476"/>
      <c r="M1328" s="1477">
        <v>0</v>
      </c>
      <c r="N1328" s="1478">
        <v>1.4656496792117459</v>
      </c>
      <c r="O1328" s="1478"/>
    </row>
    <row r="1329" spans="11:15">
      <c r="K1329" s="1475">
        <v>43386</v>
      </c>
      <c r="L1329" s="1476"/>
      <c r="M1329" s="1477">
        <v>0</v>
      </c>
      <c r="N1329" s="1478">
        <v>1.4656496792117459</v>
      </c>
      <c r="O1329" s="1478"/>
    </row>
    <row r="1330" spans="11:15">
      <c r="K1330" s="1475">
        <v>43387</v>
      </c>
      <c r="L1330" s="1476"/>
      <c r="M1330" s="1477">
        <v>0</v>
      </c>
      <c r="N1330" s="1478">
        <v>1.4656496792117459</v>
      </c>
      <c r="O1330" s="1478"/>
    </row>
    <row r="1331" spans="11:15">
      <c r="K1331" s="1475">
        <v>43388</v>
      </c>
      <c r="L1331" s="1476" t="s">
        <v>2127</v>
      </c>
      <c r="M1331" s="1477">
        <v>2.462E-2</v>
      </c>
      <c r="N1331" s="1478">
        <v>1.4660105221627679</v>
      </c>
      <c r="O1331" s="1478"/>
    </row>
    <row r="1332" spans="11:15">
      <c r="K1332" s="1475">
        <v>43389</v>
      </c>
      <c r="L1332" s="1476" t="s">
        <v>2127</v>
      </c>
      <c r="M1332" s="1477">
        <v>2.462E-2</v>
      </c>
      <c r="N1332" s="1478">
        <v>1.4663714539533246</v>
      </c>
      <c r="O1332" s="1478"/>
    </row>
    <row r="1333" spans="11:15">
      <c r="K1333" s="1475">
        <v>43390</v>
      </c>
      <c r="L1333" s="1476" t="s">
        <v>2127</v>
      </c>
      <c r="M1333" s="1477">
        <v>2.462E-2</v>
      </c>
      <c r="N1333" s="1478">
        <v>1.4667324746052881</v>
      </c>
      <c r="O1333" s="1478"/>
    </row>
    <row r="1334" spans="11:15">
      <c r="K1334" s="1475">
        <v>43391</v>
      </c>
      <c r="L1334" s="1476" t="s">
        <v>2127</v>
      </c>
      <c r="M1334" s="1477">
        <v>2.462E-2</v>
      </c>
      <c r="N1334" s="1478">
        <v>1.4670935841405361</v>
      </c>
      <c r="O1334" s="1478"/>
    </row>
    <row r="1335" spans="11:15">
      <c r="K1335" s="1475">
        <v>43392</v>
      </c>
      <c r="L1335" s="1476" t="s">
        <v>2127</v>
      </c>
      <c r="M1335" s="1477">
        <v>2.462E-2</v>
      </c>
      <c r="N1335" s="1478">
        <v>1.4674547825809516</v>
      </c>
      <c r="O1335" s="1478"/>
    </row>
    <row r="1336" spans="11:15">
      <c r="K1336" s="1475">
        <v>43393</v>
      </c>
      <c r="L1336" s="1476"/>
      <c r="M1336" s="1477">
        <v>0</v>
      </c>
      <c r="N1336" s="1478">
        <v>1.4674547825809516</v>
      </c>
      <c r="O1336" s="1478"/>
    </row>
    <row r="1337" spans="11:15">
      <c r="K1337" s="1475">
        <v>43394</v>
      </c>
      <c r="L1337" s="1476"/>
      <c r="M1337" s="1477">
        <v>0</v>
      </c>
      <c r="N1337" s="1478">
        <v>1.4674547825809516</v>
      </c>
      <c r="O1337" s="1478"/>
    </row>
    <row r="1338" spans="11:15">
      <c r="K1338" s="1475">
        <v>43395</v>
      </c>
      <c r="L1338" s="1476" t="s">
        <v>2127</v>
      </c>
      <c r="M1338" s="1477">
        <v>2.462E-2</v>
      </c>
      <c r="N1338" s="1478">
        <v>1.4678160699484233</v>
      </c>
      <c r="O1338" s="1478"/>
    </row>
    <row r="1339" spans="11:15">
      <c r="K1339" s="1475">
        <v>43396</v>
      </c>
      <c r="L1339" s="1476" t="s">
        <v>2127</v>
      </c>
      <c r="M1339" s="1477">
        <v>2.462E-2</v>
      </c>
      <c r="N1339" s="1478">
        <v>1.4681774462648447</v>
      </c>
      <c r="O1339" s="1478"/>
    </row>
    <row r="1340" spans="11:15">
      <c r="K1340" s="1475">
        <v>43397</v>
      </c>
      <c r="L1340" s="1476" t="s">
        <v>2127</v>
      </c>
      <c r="M1340" s="1477">
        <v>2.462E-2</v>
      </c>
      <c r="N1340" s="1478">
        <v>1.4685389115521152</v>
      </c>
      <c r="O1340" s="1478"/>
    </row>
    <row r="1341" spans="11:15">
      <c r="K1341" s="1475">
        <v>43398</v>
      </c>
      <c r="L1341" s="1476" t="s">
        <v>2127</v>
      </c>
      <c r="M1341" s="1477">
        <v>2.462E-2</v>
      </c>
      <c r="N1341" s="1478">
        <v>1.4689004658321394</v>
      </c>
      <c r="O1341" s="1478"/>
    </row>
    <row r="1342" spans="11:15">
      <c r="K1342" s="1475">
        <v>43399</v>
      </c>
      <c r="L1342" s="1476" t="s">
        <v>2127</v>
      </c>
      <c r="M1342" s="1477">
        <v>2.462E-2</v>
      </c>
      <c r="N1342" s="1478">
        <v>1.4692621091268274</v>
      </c>
      <c r="O1342" s="1478"/>
    </row>
    <row r="1343" spans="11:15">
      <c r="K1343" s="1475">
        <v>43400</v>
      </c>
      <c r="L1343" s="1476"/>
      <c r="M1343" s="1477">
        <v>0</v>
      </c>
      <c r="N1343" s="1478">
        <v>1.4692621091268274</v>
      </c>
      <c r="O1343" s="1478"/>
    </row>
    <row r="1344" spans="11:15">
      <c r="K1344" s="1475">
        <v>43401</v>
      </c>
      <c r="L1344" s="1476"/>
      <c r="M1344" s="1477">
        <v>0</v>
      </c>
      <c r="N1344" s="1478">
        <v>1.4692621091268274</v>
      </c>
      <c r="O1344" s="1478"/>
    </row>
    <row r="1345" spans="11:15">
      <c r="K1345" s="1475">
        <v>43402</v>
      </c>
      <c r="L1345" s="1476" t="s">
        <v>2127</v>
      </c>
      <c r="M1345" s="1477">
        <v>2.462E-2</v>
      </c>
      <c r="N1345" s="1478">
        <v>1.4696238414580947</v>
      </c>
      <c r="O1345" s="1478"/>
    </row>
    <row r="1346" spans="11:15">
      <c r="K1346" s="1475">
        <v>43403</v>
      </c>
      <c r="L1346" s="1476" t="s">
        <v>2127</v>
      </c>
      <c r="M1346" s="1477">
        <v>2.462E-2</v>
      </c>
      <c r="N1346" s="1478">
        <v>1.4699856628478618</v>
      </c>
      <c r="O1346" s="1478"/>
    </row>
    <row r="1347" spans="11:15">
      <c r="K1347" s="1475">
        <v>43404</v>
      </c>
      <c r="L1347" s="1476" t="s">
        <v>2127</v>
      </c>
      <c r="M1347" s="1477">
        <v>2.462E-2</v>
      </c>
      <c r="N1347" s="1478">
        <v>1.4703475733180551</v>
      </c>
      <c r="O1347" s="1478"/>
    </row>
    <row r="1348" spans="11:15">
      <c r="K1348" s="1475">
        <v>43405</v>
      </c>
      <c r="L1348" s="1476" t="s">
        <v>2127</v>
      </c>
      <c r="M1348" s="1477">
        <v>2.462E-2</v>
      </c>
      <c r="N1348" s="1478">
        <v>1.4707095728906061</v>
      </c>
      <c r="O1348" s="1478"/>
    </row>
    <row r="1349" spans="11:15">
      <c r="K1349" s="1475">
        <v>43406</v>
      </c>
      <c r="L1349" s="1476"/>
      <c r="M1349" s="1477">
        <v>0</v>
      </c>
      <c r="N1349" s="1478">
        <v>1.4707095728906061</v>
      </c>
      <c r="O1349" s="1478"/>
    </row>
    <row r="1350" spans="11:15">
      <c r="K1350" s="1475">
        <v>43407</v>
      </c>
      <c r="L1350" s="1476"/>
      <c r="M1350" s="1477">
        <v>0</v>
      </c>
      <c r="N1350" s="1478">
        <v>1.4707095728906061</v>
      </c>
      <c r="O1350" s="1478"/>
    </row>
    <row r="1351" spans="11:15">
      <c r="K1351" s="1475">
        <v>43408</v>
      </c>
      <c r="L1351" s="1476"/>
      <c r="M1351" s="1477">
        <v>0</v>
      </c>
      <c r="N1351" s="1478">
        <v>1.4707095728906061</v>
      </c>
      <c r="O1351" s="1478"/>
    </row>
    <row r="1352" spans="11:15">
      <c r="K1352" s="1475">
        <v>43409</v>
      </c>
      <c r="L1352" s="1476" t="s">
        <v>2127</v>
      </c>
      <c r="M1352" s="1477">
        <v>2.462E-2</v>
      </c>
      <c r="N1352" s="1478">
        <v>1.471071661587452</v>
      </c>
      <c r="O1352" s="1478"/>
    </row>
    <row r="1353" spans="11:15">
      <c r="K1353" s="1475">
        <v>43410</v>
      </c>
      <c r="L1353" s="1476" t="s">
        <v>2127</v>
      </c>
      <c r="M1353" s="1477">
        <v>2.462E-2</v>
      </c>
      <c r="N1353" s="1478">
        <v>1.4714338394305349</v>
      </c>
      <c r="O1353" s="1478"/>
    </row>
    <row r="1354" spans="11:15">
      <c r="K1354" s="1475">
        <v>43411</v>
      </c>
      <c r="L1354" s="1476" t="s">
        <v>2127</v>
      </c>
      <c r="M1354" s="1477">
        <v>2.462E-2</v>
      </c>
      <c r="N1354" s="1478">
        <v>1.4717961064418028</v>
      </c>
      <c r="O1354" s="1478"/>
    </row>
    <row r="1355" spans="11:15">
      <c r="K1355" s="1475">
        <v>43412</v>
      </c>
      <c r="L1355" s="1476" t="s">
        <v>2127</v>
      </c>
      <c r="M1355" s="1477">
        <v>2.462E-2</v>
      </c>
      <c r="N1355" s="1478">
        <v>1.4721584626432089</v>
      </c>
      <c r="O1355" s="1478"/>
    </row>
    <row r="1356" spans="11:15">
      <c r="K1356" s="1475">
        <v>43413</v>
      </c>
      <c r="L1356" s="1476" t="s">
        <v>2127</v>
      </c>
      <c r="M1356" s="1477">
        <v>2.462E-2</v>
      </c>
      <c r="N1356" s="1478">
        <v>1.4725209080567119</v>
      </c>
      <c r="O1356" s="1478"/>
    </row>
    <row r="1357" spans="11:15">
      <c r="K1357" s="1475">
        <v>43414</v>
      </c>
      <c r="L1357" s="1476"/>
      <c r="M1357" s="1477">
        <v>0</v>
      </c>
      <c r="N1357" s="1478">
        <v>1.4725209080567119</v>
      </c>
      <c r="O1357" s="1478"/>
    </row>
    <row r="1358" spans="11:15">
      <c r="K1358" s="1475">
        <v>43415</v>
      </c>
      <c r="L1358" s="1476"/>
      <c r="M1358" s="1477">
        <v>0</v>
      </c>
      <c r="N1358" s="1478">
        <v>1.4725209080567119</v>
      </c>
      <c r="O1358" s="1478"/>
    </row>
    <row r="1359" spans="11:15">
      <c r="K1359" s="1475">
        <v>43416</v>
      </c>
      <c r="L1359" s="1476" t="s">
        <v>2127</v>
      </c>
      <c r="M1359" s="1477">
        <v>2.462E-2</v>
      </c>
      <c r="N1359" s="1478">
        <v>1.4728834427042756</v>
      </c>
      <c r="O1359" s="1478"/>
    </row>
    <row r="1360" spans="11:15">
      <c r="K1360" s="1475">
        <v>43417</v>
      </c>
      <c r="L1360" s="1476" t="s">
        <v>2127</v>
      </c>
      <c r="M1360" s="1477">
        <v>2.462E-2</v>
      </c>
      <c r="N1360" s="1478">
        <v>1.4732460666078695</v>
      </c>
      <c r="O1360" s="1478"/>
    </row>
    <row r="1361" spans="11:15">
      <c r="K1361" s="1475">
        <v>43418</v>
      </c>
      <c r="L1361" s="1476" t="s">
        <v>2127</v>
      </c>
      <c r="M1361" s="1477">
        <v>2.462E-2</v>
      </c>
      <c r="N1361" s="1478">
        <v>1.4736087797894686</v>
      </c>
      <c r="O1361" s="1478"/>
    </row>
    <row r="1362" spans="11:15">
      <c r="K1362" s="1475">
        <v>43419</v>
      </c>
      <c r="L1362" s="1476"/>
      <c r="M1362" s="1477">
        <v>0</v>
      </c>
      <c r="N1362" s="1478">
        <v>1.4736087797894686</v>
      </c>
      <c r="O1362" s="1478"/>
    </row>
    <row r="1363" spans="11:15">
      <c r="K1363" s="1475">
        <v>43420</v>
      </c>
      <c r="L1363" s="1476" t="s">
        <v>2127</v>
      </c>
      <c r="M1363" s="1477">
        <v>2.462E-2</v>
      </c>
      <c r="N1363" s="1478">
        <v>1.4739715822710528</v>
      </c>
      <c r="O1363" s="1478"/>
    </row>
    <row r="1364" spans="11:15">
      <c r="K1364" s="1475">
        <v>43421</v>
      </c>
      <c r="L1364" s="1476"/>
      <c r="M1364" s="1477">
        <v>0</v>
      </c>
      <c r="N1364" s="1478">
        <v>1.4739715822710528</v>
      </c>
      <c r="O1364" s="1478"/>
    </row>
    <row r="1365" spans="11:15">
      <c r="K1365" s="1475">
        <v>43422</v>
      </c>
      <c r="L1365" s="1476"/>
      <c r="M1365" s="1477">
        <v>0</v>
      </c>
      <c r="N1365" s="1478">
        <v>1.4739715822710528</v>
      </c>
      <c r="O1365" s="1478"/>
    </row>
    <row r="1366" spans="11:15">
      <c r="K1366" s="1475">
        <v>43423</v>
      </c>
      <c r="L1366" s="1476" t="s">
        <v>2127</v>
      </c>
      <c r="M1366" s="1477">
        <v>2.462E-2</v>
      </c>
      <c r="N1366" s="1478">
        <v>1.474334474074608</v>
      </c>
      <c r="O1366" s="1478"/>
    </row>
    <row r="1367" spans="11:15">
      <c r="K1367" s="1475">
        <v>43424</v>
      </c>
      <c r="L1367" s="1476" t="s">
        <v>2127</v>
      </c>
      <c r="M1367" s="1477">
        <v>2.462E-2</v>
      </c>
      <c r="N1367" s="1478">
        <v>1.4746974552221253</v>
      </c>
      <c r="O1367" s="1478"/>
    </row>
    <row r="1368" spans="11:15">
      <c r="K1368" s="1475">
        <v>43425</v>
      </c>
      <c r="L1368" s="1476" t="s">
        <v>2127</v>
      </c>
      <c r="M1368" s="1477">
        <v>2.462E-2</v>
      </c>
      <c r="N1368" s="1478">
        <v>1.4750605257356011</v>
      </c>
      <c r="O1368" s="1478"/>
    </row>
    <row r="1369" spans="11:15">
      <c r="K1369" s="1475">
        <v>43426</v>
      </c>
      <c r="L1369" s="1476" t="s">
        <v>2127</v>
      </c>
      <c r="M1369" s="1477">
        <v>2.462E-2</v>
      </c>
      <c r="N1369" s="1478">
        <v>1.4754236856370373</v>
      </c>
      <c r="O1369" s="1478"/>
    </row>
    <row r="1370" spans="11:15">
      <c r="K1370" s="1475">
        <v>43427</v>
      </c>
      <c r="L1370" s="1476" t="s">
        <v>2127</v>
      </c>
      <c r="M1370" s="1477">
        <v>2.462E-2</v>
      </c>
      <c r="N1370" s="1478">
        <v>1.4757869349484412</v>
      </c>
      <c r="O1370" s="1478"/>
    </row>
    <row r="1371" spans="11:15">
      <c r="K1371" s="1475">
        <v>43428</v>
      </c>
      <c r="L1371" s="1476"/>
      <c r="M1371" s="1477">
        <v>0</v>
      </c>
      <c r="N1371" s="1478">
        <v>1.4757869349484412</v>
      </c>
      <c r="O1371" s="1478"/>
    </row>
    <row r="1372" spans="11:15">
      <c r="K1372" s="1475">
        <v>43429</v>
      </c>
      <c r="L1372" s="1476"/>
      <c r="M1372" s="1477">
        <v>0</v>
      </c>
      <c r="N1372" s="1478">
        <v>1.4757869349484412</v>
      </c>
      <c r="O1372" s="1478"/>
    </row>
    <row r="1373" spans="11:15">
      <c r="K1373" s="1475">
        <v>43430</v>
      </c>
      <c r="L1373" s="1476" t="s">
        <v>2127</v>
      </c>
      <c r="M1373" s="1477">
        <v>2.462E-2</v>
      </c>
      <c r="N1373" s="1478">
        <v>1.4761502736918255</v>
      </c>
      <c r="O1373" s="1478"/>
    </row>
    <row r="1374" spans="11:15">
      <c r="K1374" s="1475">
        <v>43431</v>
      </c>
      <c r="L1374" s="1476" t="s">
        <v>2127</v>
      </c>
      <c r="M1374" s="1477">
        <v>2.462E-2</v>
      </c>
      <c r="N1374" s="1478">
        <v>1.4765137018892085</v>
      </c>
      <c r="O1374" s="1478"/>
    </row>
    <row r="1375" spans="11:15">
      <c r="K1375" s="1475">
        <v>43432</v>
      </c>
      <c r="L1375" s="1476" t="s">
        <v>2127</v>
      </c>
      <c r="M1375" s="1477">
        <v>2.462E-2</v>
      </c>
      <c r="N1375" s="1478">
        <v>1.4768772195626136</v>
      </c>
      <c r="O1375" s="1478"/>
    </row>
    <row r="1376" spans="11:15">
      <c r="K1376" s="1475">
        <v>43433</v>
      </c>
      <c r="L1376" s="1476" t="s">
        <v>2127</v>
      </c>
      <c r="M1376" s="1477">
        <v>2.462E-2</v>
      </c>
      <c r="N1376" s="1478">
        <v>1.47724082673407</v>
      </c>
      <c r="O1376" s="1478"/>
    </row>
    <row r="1377" spans="11:15">
      <c r="K1377" s="1475">
        <v>43434</v>
      </c>
      <c r="L1377" s="1476" t="s">
        <v>2127</v>
      </c>
      <c r="M1377" s="1477">
        <v>2.462E-2</v>
      </c>
      <c r="N1377" s="1478">
        <v>1.4776045234256121</v>
      </c>
      <c r="O1377" s="1478"/>
    </row>
    <row r="1378" spans="11:15">
      <c r="K1378" s="1475">
        <v>43435</v>
      </c>
      <c r="L1378" s="1476"/>
      <c r="M1378" s="1477">
        <v>0</v>
      </c>
      <c r="N1378" s="1478">
        <v>1.4776045234256121</v>
      </c>
      <c r="O1378" s="1478"/>
    </row>
    <row r="1379" spans="11:15">
      <c r="K1379" s="1475">
        <v>43436</v>
      </c>
      <c r="L1379" s="1476"/>
      <c r="M1379" s="1477">
        <v>0</v>
      </c>
      <c r="N1379" s="1478">
        <v>1.4776045234256121</v>
      </c>
      <c r="O1379" s="1478"/>
    </row>
    <row r="1380" spans="11:15">
      <c r="K1380" s="1475">
        <v>43437</v>
      </c>
      <c r="L1380" s="1476" t="s">
        <v>2127</v>
      </c>
      <c r="M1380" s="1477">
        <v>2.462E-2</v>
      </c>
      <c r="N1380" s="1478">
        <v>1.4779683096592797</v>
      </c>
      <c r="O1380" s="1478"/>
    </row>
    <row r="1381" spans="11:15">
      <c r="K1381" s="1475">
        <v>43438</v>
      </c>
      <c r="L1381" s="1476" t="s">
        <v>2127</v>
      </c>
      <c r="M1381" s="1477">
        <v>2.462E-2</v>
      </c>
      <c r="N1381" s="1478">
        <v>1.4783321854571179</v>
      </c>
      <c r="O1381" s="1478"/>
    </row>
    <row r="1382" spans="11:15">
      <c r="K1382" s="1475">
        <v>43439</v>
      </c>
      <c r="L1382" s="1476" t="s">
        <v>2127</v>
      </c>
      <c r="M1382" s="1477">
        <v>2.462E-2</v>
      </c>
      <c r="N1382" s="1478">
        <v>1.4786961508411776</v>
      </c>
      <c r="O1382" s="1478"/>
    </row>
    <row r="1383" spans="11:15">
      <c r="K1383" s="1475">
        <v>43440</v>
      </c>
      <c r="L1383" s="1476" t="s">
        <v>2127</v>
      </c>
      <c r="M1383" s="1477">
        <v>2.462E-2</v>
      </c>
      <c r="N1383" s="1478">
        <v>1.4790602058335147</v>
      </c>
      <c r="O1383" s="1478"/>
    </row>
    <row r="1384" spans="11:15">
      <c r="K1384" s="1475">
        <v>43441</v>
      </c>
      <c r="L1384" s="1476" t="s">
        <v>2127</v>
      </c>
      <c r="M1384" s="1477">
        <v>2.462E-2</v>
      </c>
      <c r="N1384" s="1478">
        <v>1.479424350456191</v>
      </c>
      <c r="O1384" s="1478"/>
    </row>
    <row r="1385" spans="11:15">
      <c r="K1385" s="1475">
        <v>43442</v>
      </c>
      <c r="L1385" s="1476"/>
      <c r="M1385" s="1477">
        <v>0</v>
      </c>
      <c r="N1385" s="1478">
        <v>1.479424350456191</v>
      </c>
      <c r="O1385" s="1478"/>
    </row>
    <row r="1386" spans="11:15">
      <c r="K1386" s="1475">
        <v>43443</v>
      </c>
      <c r="L1386" s="1476"/>
      <c r="M1386" s="1477">
        <v>0</v>
      </c>
      <c r="N1386" s="1478">
        <v>1.479424350456191</v>
      </c>
      <c r="O1386" s="1478"/>
    </row>
    <row r="1387" spans="11:15">
      <c r="K1387" s="1475">
        <v>43444</v>
      </c>
      <c r="L1387" s="1476" t="s">
        <v>2127</v>
      </c>
      <c r="M1387" s="1477">
        <v>2.462E-2</v>
      </c>
      <c r="N1387" s="1478">
        <v>1.4797885847312735</v>
      </c>
      <c r="O1387" s="1478"/>
    </row>
    <row r="1388" spans="11:15">
      <c r="K1388" s="1475">
        <v>43445</v>
      </c>
      <c r="L1388" s="1476" t="s">
        <v>2127</v>
      </c>
      <c r="M1388" s="1477">
        <v>2.462E-2</v>
      </c>
      <c r="N1388" s="1478">
        <v>1.4801529086808345</v>
      </c>
      <c r="O1388" s="1478"/>
    </row>
    <row r="1389" spans="11:15">
      <c r="K1389" s="1475">
        <v>43446</v>
      </c>
      <c r="L1389" s="1476" t="s">
        <v>2127</v>
      </c>
      <c r="M1389" s="1477">
        <v>2.462E-2</v>
      </c>
      <c r="N1389" s="1478">
        <v>1.4805173223269519</v>
      </c>
      <c r="O1389" s="1478"/>
    </row>
    <row r="1390" spans="11:15">
      <c r="K1390" s="1475">
        <v>43447</v>
      </c>
      <c r="L1390" s="1476" t="s">
        <v>2127</v>
      </c>
      <c r="M1390" s="1477">
        <v>2.462E-2</v>
      </c>
      <c r="N1390" s="1478">
        <v>1.4808818256917089</v>
      </c>
      <c r="O1390" s="1478"/>
    </row>
    <row r="1391" spans="11:15">
      <c r="K1391" s="1475">
        <v>43448</v>
      </c>
      <c r="L1391" s="1476" t="s">
        <v>2127</v>
      </c>
      <c r="M1391" s="1477">
        <v>2.462E-2</v>
      </c>
      <c r="N1391" s="1478">
        <v>1.4812464187971943</v>
      </c>
      <c r="O1391" s="1478"/>
    </row>
    <row r="1392" spans="11:15">
      <c r="K1392" s="1475">
        <v>43449</v>
      </c>
      <c r="L1392" s="1476"/>
      <c r="M1392" s="1477">
        <v>0</v>
      </c>
      <c r="N1392" s="1478">
        <v>1.4812464187971943</v>
      </c>
      <c r="O1392" s="1478"/>
    </row>
    <row r="1393" spans="11:15">
      <c r="K1393" s="1475">
        <v>43450</v>
      </c>
      <c r="L1393" s="1476"/>
      <c r="M1393" s="1477">
        <v>0</v>
      </c>
      <c r="N1393" s="1478">
        <v>1.4812464187971943</v>
      </c>
      <c r="O1393" s="1478"/>
    </row>
    <row r="1394" spans="11:15">
      <c r="K1394" s="1475">
        <v>43451</v>
      </c>
      <c r="L1394" s="1476" t="s">
        <v>2127</v>
      </c>
      <c r="M1394" s="1477">
        <v>2.462E-2</v>
      </c>
      <c r="N1394" s="1478">
        <v>1.4816111016655023</v>
      </c>
      <c r="O1394" s="1478"/>
    </row>
    <row r="1395" spans="11:15">
      <c r="K1395" s="1475">
        <v>43452</v>
      </c>
      <c r="L1395" s="1476" t="s">
        <v>2127</v>
      </c>
      <c r="M1395" s="1477">
        <v>2.462E-2</v>
      </c>
      <c r="N1395" s="1478">
        <v>1.4819758743187323</v>
      </c>
      <c r="O1395" s="1478"/>
    </row>
    <row r="1396" spans="11:15">
      <c r="K1396" s="1475">
        <v>43453</v>
      </c>
      <c r="L1396" s="1476" t="s">
        <v>2127</v>
      </c>
      <c r="M1396" s="1477">
        <v>2.462E-2</v>
      </c>
      <c r="N1396" s="1478">
        <v>1.4823407367789898</v>
      </c>
      <c r="O1396" s="1478"/>
    </row>
    <row r="1397" spans="11:15">
      <c r="K1397" s="1475">
        <v>43454</v>
      </c>
      <c r="L1397" s="1476" t="s">
        <v>2127</v>
      </c>
      <c r="M1397" s="1477">
        <v>2.462E-2</v>
      </c>
      <c r="N1397" s="1478">
        <v>1.482705689068385</v>
      </c>
      <c r="O1397" s="1478"/>
    </row>
    <row r="1398" spans="11:15">
      <c r="K1398" s="1475">
        <v>43455</v>
      </c>
      <c r="L1398" s="1476" t="s">
        <v>2127</v>
      </c>
      <c r="M1398" s="1477">
        <v>2.462E-2</v>
      </c>
      <c r="N1398" s="1478">
        <v>1.4830707312090337</v>
      </c>
      <c r="O1398" s="1478"/>
    </row>
    <row r="1399" spans="11:15">
      <c r="K1399" s="1475">
        <v>43456</v>
      </c>
      <c r="L1399" s="1476"/>
      <c r="M1399" s="1477">
        <v>0</v>
      </c>
      <c r="N1399" s="1478">
        <v>1.4830707312090337</v>
      </c>
      <c r="O1399" s="1478"/>
    </row>
    <row r="1400" spans="11:15">
      <c r="K1400" s="1475">
        <v>43457</v>
      </c>
      <c r="L1400" s="1476"/>
      <c r="M1400" s="1477">
        <v>0</v>
      </c>
      <c r="N1400" s="1478">
        <v>1.4830707312090337</v>
      </c>
      <c r="O1400" s="1478"/>
    </row>
    <row r="1401" spans="11:15">
      <c r="K1401" s="1475">
        <v>43458</v>
      </c>
      <c r="L1401" s="1476" t="s">
        <v>2127</v>
      </c>
      <c r="M1401" s="1477">
        <v>2.462E-2</v>
      </c>
      <c r="N1401" s="1478">
        <v>1.4834358632230575</v>
      </c>
      <c r="O1401" s="1478"/>
    </row>
    <row r="1402" spans="11:15">
      <c r="K1402" s="1475">
        <v>43459</v>
      </c>
      <c r="L1402" s="1476"/>
      <c r="M1402" s="1477">
        <v>0</v>
      </c>
      <c r="N1402" s="1478">
        <v>1.4834358632230575</v>
      </c>
      <c r="O1402" s="1478"/>
    </row>
    <row r="1403" spans="11:15">
      <c r="K1403" s="1475">
        <v>43460</v>
      </c>
      <c r="L1403" s="1476" t="s">
        <v>2127</v>
      </c>
      <c r="M1403" s="1477">
        <v>2.462E-2</v>
      </c>
      <c r="N1403" s="1478">
        <v>1.4838010851325831</v>
      </c>
      <c r="O1403" s="1478"/>
    </row>
    <row r="1404" spans="11:15">
      <c r="K1404" s="1475">
        <v>43461</v>
      </c>
      <c r="L1404" s="1476" t="s">
        <v>2127</v>
      </c>
      <c r="M1404" s="1477">
        <v>2.462E-2</v>
      </c>
      <c r="N1404" s="1478">
        <v>1.484166396959743</v>
      </c>
      <c r="O1404" s="1478"/>
    </row>
    <row r="1405" spans="11:15">
      <c r="K1405" s="1475">
        <v>43462</v>
      </c>
      <c r="L1405" s="1476" t="s">
        <v>2127</v>
      </c>
      <c r="M1405" s="1477">
        <v>2.462E-2</v>
      </c>
      <c r="N1405" s="1478">
        <v>1.4845317987266746</v>
      </c>
      <c r="O1405" s="1478"/>
    </row>
    <row r="1406" spans="11:15">
      <c r="K1406" s="1475">
        <v>43463</v>
      </c>
      <c r="L1406" s="1476"/>
      <c r="M1406" s="1477">
        <v>0</v>
      </c>
      <c r="N1406" s="1478">
        <v>1.4845317987266746</v>
      </c>
      <c r="O1406" s="1478"/>
    </row>
    <row r="1407" spans="11:15">
      <c r="K1407" s="1475">
        <v>43464</v>
      </c>
      <c r="L1407" s="1476"/>
      <c r="M1407" s="1477">
        <v>0</v>
      </c>
      <c r="N1407" s="1478">
        <v>1.4845317987266746</v>
      </c>
      <c r="O1407" s="1478"/>
    </row>
    <row r="1408" spans="11:15">
      <c r="K1408" s="1475">
        <v>43465</v>
      </c>
      <c r="L1408" s="1476" t="s">
        <v>2127</v>
      </c>
      <c r="M1408" s="1477">
        <v>2.462E-2</v>
      </c>
      <c r="N1408" s="1478">
        <v>1.4848972904555213</v>
      </c>
      <c r="O1408" s="1478"/>
    </row>
    <row r="1409" spans="11:15">
      <c r="K1409" s="1475">
        <v>43466</v>
      </c>
      <c r="L1409" s="1476"/>
      <c r="M1409" s="1477">
        <v>0</v>
      </c>
      <c r="N1409" s="1478">
        <v>1.4848972904555213</v>
      </c>
      <c r="O1409" s="1478"/>
    </row>
    <row r="1410" spans="11:15">
      <c r="K1410" s="1475">
        <v>43467</v>
      </c>
      <c r="L1410" s="1476" t="s">
        <v>2127</v>
      </c>
      <c r="M1410" s="1477">
        <v>2.462E-2</v>
      </c>
      <c r="N1410" s="1478">
        <v>1.4852628721684316</v>
      </c>
      <c r="O1410" s="1478"/>
    </row>
    <row r="1411" spans="11:15">
      <c r="K1411" s="1475">
        <v>43468</v>
      </c>
      <c r="L1411" s="1476" t="s">
        <v>2127</v>
      </c>
      <c r="M1411" s="1477">
        <v>2.462E-2</v>
      </c>
      <c r="N1411" s="1478">
        <v>1.4856285438875596</v>
      </c>
      <c r="O1411" s="1478"/>
    </row>
    <row r="1412" spans="11:15">
      <c r="K1412" s="1475">
        <v>43469</v>
      </c>
      <c r="L1412" s="1476" t="s">
        <v>2127</v>
      </c>
      <c r="M1412" s="1477">
        <v>2.462E-2</v>
      </c>
      <c r="N1412" s="1478">
        <v>1.4859943056350648</v>
      </c>
      <c r="O1412" s="1478"/>
    </row>
    <row r="1413" spans="11:15">
      <c r="K1413" s="1475">
        <v>43470</v>
      </c>
      <c r="L1413" s="1476"/>
      <c r="M1413" s="1477">
        <v>0</v>
      </c>
      <c r="N1413" s="1478">
        <v>1.4859943056350648</v>
      </c>
      <c r="O1413" s="1478"/>
    </row>
    <row r="1414" spans="11:15">
      <c r="K1414" s="1475">
        <v>43471</v>
      </c>
      <c r="L1414" s="1476"/>
      <c r="M1414" s="1477">
        <v>0</v>
      </c>
      <c r="N1414" s="1478">
        <v>1.4859943056350648</v>
      </c>
      <c r="O1414" s="1478"/>
    </row>
    <row r="1415" spans="11:15">
      <c r="K1415" s="1475">
        <v>43472</v>
      </c>
      <c r="L1415" s="1476" t="s">
        <v>2127</v>
      </c>
      <c r="M1415" s="1477">
        <v>2.462E-2</v>
      </c>
      <c r="N1415" s="1478">
        <v>1.4863601574331122</v>
      </c>
      <c r="O1415" s="1478"/>
    </row>
    <row r="1416" spans="11:15">
      <c r="K1416" s="1475">
        <v>43473</v>
      </c>
      <c r="L1416" s="1476" t="s">
        <v>2127</v>
      </c>
      <c r="M1416" s="1477">
        <v>2.462E-2</v>
      </c>
      <c r="N1416" s="1478">
        <v>1.4867260993038725</v>
      </c>
      <c r="O1416" s="1478"/>
    </row>
    <row r="1417" spans="11:15">
      <c r="K1417" s="1475">
        <v>43474</v>
      </c>
      <c r="L1417" s="1476" t="s">
        <v>2127</v>
      </c>
      <c r="M1417" s="1477">
        <v>2.462E-2</v>
      </c>
      <c r="N1417" s="1478">
        <v>1.4870921312695211</v>
      </c>
      <c r="O1417" s="1478"/>
    </row>
    <row r="1418" spans="11:15">
      <c r="K1418" s="1475">
        <v>43475</v>
      </c>
      <c r="L1418" s="1476" t="s">
        <v>2127</v>
      </c>
      <c r="M1418" s="1477">
        <v>2.462E-2</v>
      </c>
      <c r="N1418" s="1478">
        <v>1.4874582533522398</v>
      </c>
      <c r="O1418" s="1478"/>
    </row>
    <row r="1419" spans="11:15">
      <c r="K1419" s="1475">
        <v>43476</v>
      </c>
      <c r="L1419" s="1476" t="s">
        <v>2127</v>
      </c>
      <c r="M1419" s="1477">
        <v>2.462E-2</v>
      </c>
      <c r="N1419" s="1478">
        <v>1.4878244655742152</v>
      </c>
      <c r="O1419" s="1478"/>
    </row>
    <row r="1420" spans="11:15">
      <c r="K1420" s="1475">
        <v>43477</v>
      </c>
      <c r="L1420" s="1476"/>
      <c r="M1420" s="1477">
        <v>0</v>
      </c>
      <c r="N1420" s="1478">
        <v>1.4878244655742152</v>
      </c>
      <c r="O1420" s="1478"/>
    </row>
    <row r="1421" spans="11:15">
      <c r="K1421" s="1475">
        <v>43478</v>
      </c>
      <c r="L1421" s="1476"/>
      <c r="M1421" s="1477">
        <v>0</v>
      </c>
      <c r="N1421" s="1478">
        <v>1.4878244655742152</v>
      </c>
      <c r="O1421" s="1478"/>
    </row>
    <row r="1422" spans="11:15">
      <c r="K1422" s="1475">
        <v>43479</v>
      </c>
      <c r="L1422" s="1476" t="s">
        <v>2127</v>
      </c>
      <c r="M1422" s="1477">
        <v>2.462E-2</v>
      </c>
      <c r="N1422" s="1478">
        <v>1.4881907679576396</v>
      </c>
      <c r="O1422" s="1478"/>
    </row>
    <row r="1423" spans="11:15">
      <c r="K1423" s="1475">
        <v>43480</v>
      </c>
      <c r="L1423" s="1476" t="s">
        <v>2127</v>
      </c>
      <c r="M1423" s="1477">
        <v>2.462E-2</v>
      </c>
      <c r="N1423" s="1478">
        <v>1.488557160524711</v>
      </c>
      <c r="O1423" s="1478"/>
    </row>
    <row r="1424" spans="11:15">
      <c r="K1424" s="1475">
        <v>43481</v>
      </c>
      <c r="L1424" s="1476" t="s">
        <v>2127</v>
      </c>
      <c r="M1424" s="1477">
        <v>2.462E-2</v>
      </c>
      <c r="N1424" s="1478">
        <v>1.4889236432976323</v>
      </c>
      <c r="O1424" s="1478"/>
    </row>
    <row r="1425" spans="11:15">
      <c r="K1425" s="1475">
        <v>43482</v>
      </c>
      <c r="L1425" s="1476" t="s">
        <v>2127</v>
      </c>
      <c r="M1425" s="1477">
        <v>2.462E-2</v>
      </c>
      <c r="N1425" s="1478">
        <v>1.4892902162986124</v>
      </c>
      <c r="O1425" s="1478"/>
    </row>
    <row r="1426" spans="11:15">
      <c r="K1426" s="1475">
        <v>43483</v>
      </c>
      <c r="L1426" s="1476" t="s">
        <v>2127</v>
      </c>
      <c r="M1426" s="1477">
        <v>2.462E-2</v>
      </c>
      <c r="N1426" s="1478">
        <v>1.4896568795498653</v>
      </c>
      <c r="O1426" s="1478"/>
    </row>
    <row r="1427" spans="11:15">
      <c r="K1427" s="1475">
        <v>43484</v>
      </c>
      <c r="L1427" s="1476"/>
      <c r="M1427" s="1477">
        <v>0</v>
      </c>
      <c r="N1427" s="1478">
        <v>1.4896568795498653</v>
      </c>
      <c r="O1427" s="1478"/>
    </row>
    <row r="1428" spans="11:15">
      <c r="K1428" s="1475">
        <v>43485</v>
      </c>
      <c r="L1428" s="1476"/>
      <c r="M1428" s="1477">
        <v>0</v>
      </c>
      <c r="N1428" s="1478">
        <v>1.4896568795498653</v>
      </c>
      <c r="O1428" s="1478"/>
    </row>
    <row r="1429" spans="11:15">
      <c r="K1429" s="1475">
        <v>43486</v>
      </c>
      <c r="L1429" s="1476" t="s">
        <v>2127</v>
      </c>
      <c r="M1429" s="1477">
        <v>2.462E-2</v>
      </c>
      <c r="N1429" s="1478">
        <v>1.4900236330736105</v>
      </c>
      <c r="O1429" s="1478"/>
    </row>
    <row r="1430" spans="11:15">
      <c r="K1430" s="1475">
        <v>43487</v>
      </c>
      <c r="L1430" s="1476" t="s">
        <v>2127</v>
      </c>
      <c r="M1430" s="1477">
        <v>2.462E-2</v>
      </c>
      <c r="N1430" s="1478">
        <v>1.4903904768920733</v>
      </c>
      <c r="O1430" s="1478"/>
    </row>
    <row r="1431" spans="11:15">
      <c r="K1431" s="1475">
        <v>43488</v>
      </c>
      <c r="L1431" s="1476" t="s">
        <v>2127</v>
      </c>
      <c r="M1431" s="1477">
        <v>2.462E-2</v>
      </c>
      <c r="N1431" s="1478">
        <v>1.4907574110274842</v>
      </c>
      <c r="O1431" s="1478"/>
    </row>
    <row r="1432" spans="11:15">
      <c r="K1432" s="1475">
        <v>43489</v>
      </c>
      <c r="L1432" s="1476" t="s">
        <v>2127</v>
      </c>
      <c r="M1432" s="1477">
        <v>2.462E-2</v>
      </c>
      <c r="N1432" s="1478">
        <v>1.4911244355020792</v>
      </c>
      <c r="O1432" s="1478"/>
    </row>
    <row r="1433" spans="11:15">
      <c r="K1433" s="1475">
        <v>43490</v>
      </c>
      <c r="L1433" s="1476" t="s">
        <v>2127</v>
      </c>
      <c r="M1433" s="1477">
        <v>2.462E-2</v>
      </c>
      <c r="N1433" s="1478">
        <v>1.4914915503380999</v>
      </c>
      <c r="O1433" s="1478"/>
    </row>
    <row r="1434" spans="11:15">
      <c r="K1434" s="1475">
        <v>43491</v>
      </c>
      <c r="L1434" s="1476"/>
      <c r="M1434" s="1477">
        <v>0</v>
      </c>
      <c r="N1434" s="1478">
        <v>1.4914915503380999</v>
      </c>
      <c r="O1434" s="1478"/>
    </row>
    <row r="1435" spans="11:15">
      <c r="K1435" s="1475">
        <v>43492</v>
      </c>
      <c r="L1435" s="1476"/>
      <c r="M1435" s="1477">
        <v>0</v>
      </c>
      <c r="N1435" s="1478">
        <v>1.4914915503380999</v>
      </c>
      <c r="O1435" s="1478"/>
    </row>
    <row r="1436" spans="11:15">
      <c r="K1436" s="1475">
        <v>43493</v>
      </c>
      <c r="L1436" s="1476" t="s">
        <v>2127</v>
      </c>
      <c r="M1436" s="1477">
        <v>2.462E-2</v>
      </c>
      <c r="N1436" s="1478">
        <v>1.4918587555577933</v>
      </c>
      <c r="O1436" s="1478"/>
    </row>
    <row r="1437" spans="11:15">
      <c r="K1437" s="1475">
        <v>43494</v>
      </c>
      <c r="L1437" s="1476" t="s">
        <v>2127</v>
      </c>
      <c r="M1437" s="1477">
        <v>2.462E-2</v>
      </c>
      <c r="N1437" s="1478">
        <v>1.4922260511834118</v>
      </c>
      <c r="O1437" s="1478"/>
    </row>
    <row r="1438" spans="11:15">
      <c r="K1438" s="1475">
        <v>43495</v>
      </c>
      <c r="L1438" s="1476" t="s">
        <v>2127</v>
      </c>
      <c r="M1438" s="1477">
        <v>2.462E-2</v>
      </c>
      <c r="N1438" s="1478">
        <v>1.4925934372372132</v>
      </c>
      <c r="O1438" s="1478"/>
    </row>
    <row r="1439" spans="11:15">
      <c r="K1439" s="1475">
        <v>43496</v>
      </c>
      <c r="L1439" s="1476" t="s">
        <v>2127</v>
      </c>
      <c r="M1439" s="1477">
        <v>2.462E-2</v>
      </c>
      <c r="N1439" s="1478">
        <v>1.492960913741461</v>
      </c>
      <c r="O1439" s="1478"/>
    </row>
    <row r="1440" spans="11:15">
      <c r="K1440" s="1475">
        <v>43497</v>
      </c>
      <c r="L1440" s="1476" t="s">
        <v>2127</v>
      </c>
      <c r="M1440" s="1477">
        <v>2.462E-2</v>
      </c>
      <c r="N1440" s="1478">
        <v>1.4933284807184244</v>
      </c>
      <c r="O1440" s="1478"/>
    </row>
    <row r="1441" spans="11:15">
      <c r="K1441" s="1475">
        <v>43498</v>
      </c>
      <c r="L1441" s="1476"/>
      <c r="M1441" s="1477">
        <v>0</v>
      </c>
      <c r="N1441" s="1478">
        <v>1.4933284807184244</v>
      </c>
      <c r="O1441" s="1478"/>
    </row>
    <row r="1442" spans="11:15">
      <c r="K1442" s="1475">
        <v>43499</v>
      </c>
      <c r="L1442" s="1476"/>
      <c r="M1442" s="1477">
        <v>0</v>
      </c>
      <c r="N1442" s="1478">
        <v>1.4933284807184244</v>
      </c>
      <c r="O1442" s="1478"/>
    </row>
    <row r="1443" spans="11:15">
      <c r="K1443" s="1475">
        <v>43500</v>
      </c>
      <c r="L1443" s="1476" t="s">
        <v>2127</v>
      </c>
      <c r="M1443" s="1477">
        <v>2.462E-2</v>
      </c>
      <c r="N1443" s="1478">
        <v>1.4936961381903775</v>
      </c>
      <c r="O1443" s="1478"/>
    </row>
    <row r="1444" spans="11:15">
      <c r="K1444" s="1475">
        <v>43501</v>
      </c>
      <c r="L1444" s="1476" t="s">
        <v>2127</v>
      </c>
      <c r="M1444" s="1477">
        <v>2.462E-2</v>
      </c>
      <c r="N1444" s="1478">
        <v>1.4940638861796001</v>
      </c>
      <c r="O1444" s="1478"/>
    </row>
    <row r="1445" spans="11:15">
      <c r="K1445" s="1475">
        <v>43502</v>
      </c>
      <c r="L1445" s="1476" t="s">
        <v>2127</v>
      </c>
      <c r="M1445" s="1477">
        <v>2.462E-2</v>
      </c>
      <c r="N1445" s="1478">
        <v>1.4944317247083776</v>
      </c>
      <c r="O1445" s="1478"/>
    </row>
    <row r="1446" spans="11:15">
      <c r="K1446" s="1475">
        <v>43503</v>
      </c>
      <c r="L1446" s="1476" t="s">
        <v>2127</v>
      </c>
      <c r="M1446" s="1477">
        <v>2.462E-2</v>
      </c>
      <c r="N1446" s="1478">
        <v>1.4947996537990009</v>
      </c>
      <c r="O1446" s="1478"/>
    </row>
    <row r="1447" spans="11:15">
      <c r="K1447" s="1475">
        <v>43504</v>
      </c>
      <c r="L1447" s="1476" t="s">
        <v>2127</v>
      </c>
      <c r="M1447" s="1477">
        <v>2.462E-2</v>
      </c>
      <c r="N1447" s="1478">
        <v>1.4951676734737664</v>
      </c>
      <c r="O1447" s="1478"/>
    </row>
    <row r="1448" spans="11:15">
      <c r="K1448" s="1475">
        <v>43505</v>
      </c>
      <c r="L1448" s="1476"/>
      <c r="M1448" s="1477">
        <v>0</v>
      </c>
      <c r="N1448" s="1478">
        <v>1.4951676734737664</v>
      </c>
      <c r="O1448" s="1478"/>
    </row>
    <row r="1449" spans="11:15">
      <c r="K1449" s="1475">
        <v>43506</v>
      </c>
      <c r="L1449" s="1476"/>
      <c r="M1449" s="1477">
        <v>0</v>
      </c>
      <c r="N1449" s="1478">
        <v>1.4951676734737664</v>
      </c>
      <c r="O1449" s="1478"/>
    </row>
    <row r="1450" spans="11:15">
      <c r="K1450" s="1475">
        <v>43507</v>
      </c>
      <c r="L1450" s="1476" t="s">
        <v>2127</v>
      </c>
      <c r="M1450" s="1477">
        <v>2.462E-2</v>
      </c>
      <c r="N1450" s="1478">
        <v>1.4955357837549759</v>
      </c>
      <c r="O1450" s="1478"/>
    </row>
    <row r="1451" spans="11:15">
      <c r="K1451" s="1475">
        <v>43508</v>
      </c>
      <c r="L1451" s="1476" t="s">
        <v>2127</v>
      </c>
      <c r="M1451" s="1477">
        <v>2.462E-2</v>
      </c>
      <c r="N1451" s="1478">
        <v>1.4959039846649365</v>
      </c>
      <c r="O1451" s="1478"/>
    </row>
    <row r="1452" spans="11:15">
      <c r="K1452" s="1475">
        <v>43509</v>
      </c>
      <c r="L1452" s="1476" t="s">
        <v>2127</v>
      </c>
      <c r="M1452" s="1477">
        <v>2.462E-2</v>
      </c>
      <c r="N1452" s="1478">
        <v>1.496272276225961</v>
      </c>
      <c r="O1452" s="1478"/>
    </row>
    <row r="1453" spans="11:15">
      <c r="K1453" s="1475">
        <v>43510</v>
      </c>
      <c r="L1453" s="1476" t="s">
        <v>2127</v>
      </c>
      <c r="M1453" s="1477">
        <v>2.462E-2</v>
      </c>
      <c r="N1453" s="1478">
        <v>1.496640658460368</v>
      </c>
      <c r="O1453" s="1478"/>
    </row>
    <row r="1454" spans="11:15">
      <c r="K1454" s="1475">
        <v>43511</v>
      </c>
      <c r="L1454" s="1476" t="s">
        <v>2127</v>
      </c>
      <c r="M1454" s="1477">
        <v>2.462E-2</v>
      </c>
      <c r="N1454" s="1478">
        <v>1.497009131390481</v>
      </c>
      <c r="O1454" s="1478"/>
    </row>
    <row r="1455" spans="11:15">
      <c r="K1455" s="1475">
        <v>43512</v>
      </c>
      <c r="L1455" s="1476"/>
      <c r="M1455" s="1477">
        <v>0</v>
      </c>
      <c r="N1455" s="1478">
        <v>1.497009131390481</v>
      </c>
      <c r="O1455" s="1478"/>
    </row>
    <row r="1456" spans="11:15">
      <c r="K1456" s="1475">
        <v>43513</v>
      </c>
      <c r="L1456" s="1476"/>
      <c r="M1456" s="1477">
        <v>0</v>
      </c>
      <c r="N1456" s="1478">
        <v>1.497009131390481</v>
      </c>
      <c r="O1456" s="1478"/>
    </row>
    <row r="1457" spans="11:15">
      <c r="K1457" s="1475">
        <v>43514</v>
      </c>
      <c r="L1457" s="1476" t="s">
        <v>2127</v>
      </c>
      <c r="M1457" s="1477">
        <v>2.462E-2</v>
      </c>
      <c r="N1457" s="1478">
        <v>1.4973776950386295</v>
      </c>
      <c r="O1457" s="1478"/>
    </row>
    <row r="1458" spans="11:15">
      <c r="K1458" s="1475">
        <v>43515</v>
      </c>
      <c r="L1458" s="1476" t="s">
        <v>2127</v>
      </c>
      <c r="M1458" s="1477">
        <v>2.462E-2</v>
      </c>
      <c r="N1458" s="1478">
        <v>1.4977463494271481</v>
      </c>
      <c r="O1458" s="1478"/>
    </row>
    <row r="1459" spans="11:15">
      <c r="K1459" s="1475">
        <v>43516</v>
      </c>
      <c r="L1459" s="1476" t="s">
        <v>2127</v>
      </c>
      <c r="M1459" s="1477">
        <v>2.462E-2</v>
      </c>
      <c r="N1459" s="1478">
        <v>1.4981150945783772</v>
      </c>
      <c r="O1459" s="1478"/>
    </row>
    <row r="1460" spans="11:15">
      <c r="K1460" s="1475">
        <v>43517</v>
      </c>
      <c r="L1460" s="1476" t="s">
        <v>2127</v>
      </c>
      <c r="M1460" s="1477">
        <v>2.462E-2</v>
      </c>
      <c r="N1460" s="1478">
        <v>1.4984839305146624</v>
      </c>
      <c r="O1460" s="1478"/>
    </row>
    <row r="1461" spans="11:15">
      <c r="K1461" s="1475">
        <v>43518</v>
      </c>
      <c r="L1461" s="1476" t="s">
        <v>2127</v>
      </c>
      <c r="M1461" s="1477">
        <v>2.462E-2</v>
      </c>
      <c r="N1461" s="1478">
        <v>1.4988528572583553</v>
      </c>
      <c r="O1461" s="1478"/>
    </row>
    <row r="1462" spans="11:15">
      <c r="K1462" s="1475">
        <v>43519</v>
      </c>
      <c r="L1462" s="1476"/>
      <c r="M1462" s="1477">
        <v>0</v>
      </c>
      <c r="N1462" s="1478">
        <v>1.4988528572583553</v>
      </c>
      <c r="O1462" s="1478"/>
    </row>
    <row r="1463" spans="11:15">
      <c r="K1463" s="1475">
        <v>43520</v>
      </c>
      <c r="L1463" s="1476"/>
      <c r="M1463" s="1477">
        <v>0</v>
      </c>
      <c r="N1463" s="1478">
        <v>1.4988528572583553</v>
      </c>
      <c r="O1463" s="1478"/>
    </row>
    <row r="1464" spans="11:15">
      <c r="K1464" s="1475">
        <v>43521</v>
      </c>
      <c r="L1464" s="1476" t="s">
        <v>2127</v>
      </c>
      <c r="M1464" s="1477">
        <v>2.462E-2</v>
      </c>
      <c r="N1464" s="1478">
        <v>1.4992218748318125</v>
      </c>
      <c r="O1464" s="1478"/>
    </row>
    <row r="1465" spans="11:15">
      <c r="K1465" s="1475">
        <v>43522</v>
      </c>
      <c r="L1465" s="1476" t="s">
        <v>2127</v>
      </c>
      <c r="M1465" s="1477">
        <v>2.462E-2</v>
      </c>
      <c r="N1465" s="1478">
        <v>1.4995909832573961</v>
      </c>
      <c r="O1465" s="1478"/>
    </row>
    <row r="1466" spans="11:15">
      <c r="K1466" s="1475">
        <v>43523</v>
      </c>
      <c r="L1466" s="1476" t="s">
        <v>2127</v>
      </c>
      <c r="M1466" s="1477">
        <v>2.462E-2</v>
      </c>
      <c r="N1466" s="1478">
        <v>1.4999601825574742</v>
      </c>
      <c r="O1466" s="1478"/>
    </row>
    <row r="1467" spans="11:15">
      <c r="K1467" s="1475">
        <v>43524</v>
      </c>
      <c r="L1467" s="1476" t="s">
        <v>2127</v>
      </c>
      <c r="M1467" s="1477">
        <v>2.462E-2</v>
      </c>
      <c r="N1467" s="1478">
        <v>1.5003294727544201</v>
      </c>
      <c r="O1467" s="1478"/>
    </row>
    <row r="1468" spans="11:15">
      <c r="K1468" s="1475">
        <v>43525</v>
      </c>
      <c r="L1468" s="1476" t="s">
        <v>2127</v>
      </c>
      <c r="M1468" s="1477">
        <v>2.462E-2</v>
      </c>
      <c r="N1468" s="1478">
        <v>1.5006988538706123</v>
      </c>
      <c r="O1468" s="1478"/>
    </row>
    <row r="1469" spans="11:15">
      <c r="K1469" s="1475">
        <v>43526</v>
      </c>
      <c r="L1469" s="1476"/>
      <c r="M1469" s="1477">
        <v>0</v>
      </c>
      <c r="N1469" s="1478">
        <v>1.5006988538706123</v>
      </c>
      <c r="O1469" s="1478"/>
    </row>
    <row r="1470" spans="11:15">
      <c r="K1470" s="1475">
        <v>43527</v>
      </c>
      <c r="L1470" s="1476"/>
      <c r="M1470" s="1477">
        <v>0</v>
      </c>
      <c r="N1470" s="1478">
        <v>1.5006988538706123</v>
      </c>
      <c r="O1470" s="1478"/>
    </row>
    <row r="1471" spans="11:15">
      <c r="K1471" s="1475">
        <v>43528</v>
      </c>
      <c r="L1471" s="1476"/>
      <c r="M1471" s="1477">
        <v>0</v>
      </c>
      <c r="N1471" s="1478">
        <v>1.5006988538706123</v>
      </c>
      <c r="O1471" s="1478"/>
    </row>
    <row r="1472" spans="11:15">
      <c r="K1472" s="1475">
        <v>43529</v>
      </c>
      <c r="L1472" s="1476"/>
      <c r="M1472" s="1477">
        <v>0</v>
      </c>
      <c r="N1472" s="1478">
        <v>1.5006988538706123</v>
      </c>
      <c r="O1472" s="1478"/>
    </row>
    <row r="1473" spans="11:15">
      <c r="K1473" s="1475">
        <v>43530</v>
      </c>
      <c r="L1473" s="1476" t="s">
        <v>2127</v>
      </c>
      <c r="M1473" s="1477">
        <v>2.462E-2</v>
      </c>
      <c r="N1473" s="1478">
        <v>1.5010683259284354</v>
      </c>
      <c r="O1473" s="1478"/>
    </row>
    <row r="1474" spans="11:15">
      <c r="K1474" s="1475">
        <v>43531</v>
      </c>
      <c r="L1474" s="1476" t="s">
        <v>2127</v>
      </c>
      <c r="M1474" s="1477">
        <v>2.462E-2</v>
      </c>
      <c r="N1474" s="1478">
        <v>1.5014378889502791</v>
      </c>
      <c r="O1474" s="1478"/>
    </row>
    <row r="1475" spans="11:15">
      <c r="K1475" s="1475">
        <v>43532</v>
      </c>
      <c r="L1475" s="1476" t="s">
        <v>2127</v>
      </c>
      <c r="M1475" s="1477">
        <v>2.462E-2</v>
      </c>
      <c r="N1475" s="1478">
        <v>1.5018075429585387</v>
      </c>
      <c r="O1475" s="1478"/>
    </row>
    <row r="1476" spans="11:15">
      <c r="K1476" s="1475">
        <v>43533</v>
      </c>
      <c r="L1476" s="1476"/>
      <c r="M1476" s="1477">
        <v>0</v>
      </c>
      <c r="N1476" s="1478">
        <v>1.5018075429585387</v>
      </c>
      <c r="O1476" s="1478"/>
    </row>
    <row r="1477" spans="11:15">
      <c r="K1477" s="1475">
        <v>43534</v>
      </c>
      <c r="L1477" s="1476"/>
      <c r="M1477" s="1477">
        <v>0</v>
      </c>
      <c r="N1477" s="1478">
        <v>1.5018075429585387</v>
      </c>
      <c r="O1477" s="1478"/>
    </row>
    <row r="1478" spans="11:15">
      <c r="K1478" s="1475">
        <v>43535</v>
      </c>
      <c r="L1478" s="1476" t="s">
        <v>2127</v>
      </c>
      <c r="M1478" s="1477">
        <v>2.462E-2</v>
      </c>
      <c r="N1478" s="1478">
        <v>1.5021772879756152</v>
      </c>
      <c r="O1478" s="1478"/>
    </row>
    <row r="1479" spans="11:15">
      <c r="K1479" s="1475">
        <v>43536</v>
      </c>
      <c r="L1479" s="1476" t="s">
        <v>2127</v>
      </c>
      <c r="M1479" s="1477">
        <v>2.462E-2</v>
      </c>
      <c r="N1479" s="1478">
        <v>1.502547124023915</v>
      </c>
      <c r="O1479" s="1478"/>
    </row>
    <row r="1480" spans="11:15">
      <c r="K1480" s="1475">
        <v>43537</v>
      </c>
      <c r="L1480" s="1476" t="s">
        <v>2127</v>
      </c>
      <c r="M1480" s="1477">
        <v>2.462E-2</v>
      </c>
      <c r="N1480" s="1478">
        <v>1.5029170511258498</v>
      </c>
      <c r="O1480" s="1478"/>
    </row>
    <row r="1481" spans="11:15">
      <c r="K1481" s="1475">
        <v>43538</v>
      </c>
      <c r="L1481" s="1476" t="s">
        <v>2127</v>
      </c>
      <c r="M1481" s="1477">
        <v>2.462E-2</v>
      </c>
      <c r="N1481" s="1478">
        <v>1.5032870693038372</v>
      </c>
      <c r="O1481" s="1478"/>
    </row>
    <row r="1482" spans="11:15">
      <c r="K1482" s="1475">
        <v>43539</v>
      </c>
      <c r="L1482" s="1476" t="s">
        <v>2127</v>
      </c>
      <c r="M1482" s="1477">
        <v>2.462E-2</v>
      </c>
      <c r="N1482" s="1478">
        <v>1.5036571785802999</v>
      </c>
      <c r="O1482" s="1478"/>
    </row>
    <row r="1483" spans="11:15">
      <c r="K1483" s="1475">
        <v>43540</v>
      </c>
      <c r="L1483" s="1476"/>
      <c r="M1483" s="1477">
        <v>0</v>
      </c>
      <c r="N1483" s="1478">
        <v>1.5036571785802999</v>
      </c>
      <c r="O1483" s="1478"/>
    </row>
    <row r="1484" spans="11:15">
      <c r="K1484" s="1475">
        <v>43541</v>
      </c>
      <c r="L1484" s="1476"/>
      <c r="M1484" s="1477">
        <v>0</v>
      </c>
      <c r="N1484" s="1478">
        <v>1.5036571785802999</v>
      </c>
      <c r="O1484" s="1478"/>
    </row>
    <row r="1485" spans="11:15">
      <c r="K1485" s="1475">
        <v>43542</v>
      </c>
      <c r="L1485" s="1476" t="s">
        <v>2127</v>
      </c>
      <c r="M1485" s="1477">
        <v>2.462E-2</v>
      </c>
      <c r="N1485" s="1478">
        <v>1.5040273789776666</v>
      </c>
      <c r="O1485" s="1478"/>
    </row>
    <row r="1486" spans="11:15">
      <c r="K1486" s="1475">
        <v>43543</v>
      </c>
      <c r="L1486" s="1476" t="s">
        <v>2127</v>
      </c>
      <c r="M1486" s="1477">
        <v>2.462E-2</v>
      </c>
      <c r="N1486" s="1478">
        <v>1.504397670518371</v>
      </c>
      <c r="O1486" s="1478"/>
    </row>
    <row r="1487" spans="11:15">
      <c r="K1487" s="1475">
        <v>43544</v>
      </c>
      <c r="L1487" s="1476" t="s">
        <v>2127</v>
      </c>
      <c r="M1487" s="1477">
        <v>2.462E-2</v>
      </c>
      <c r="N1487" s="1478">
        <v>1.5047680532248529</v>
      </c>
      <c r="O1487" s="1478"/>
    </row>
    <row r="1488" spans="11:15">
      <c r="K1488" s="1475">
        <v>43545</v>
      </c>
      <c r="L1488" s="1476" t="s">
        <v>2127</v>
      </c>
      <c r="M1488" s="1477">
        <v>2.462E-2</v>
      </c>
      <c r="N1488" s="1478">
        <v>1.505138527119557</v>
      </c>
      <c r="O1488" s="1478"/>
    </row>
    <row r="1489" spans="11:15">
      <c r="K1489" s="1475">
        <v>43546</v>
      </c>
      <c r="L1489" s="1476" t="s">
        <v>2127</v>
      </c>
      <c r="M1489" s="1477">
        <v>2.462E-2</v>
      </c>
      <c r="N1489" s="1478">
        <v>1.5055090922249339</v>
      </c>
      <c r="O1489" s="1478"/>
    </row>
    <row r="1490" spans="11:15">
      <c r="K1490" s="1475">
        <v>43547</v>
      </c>
      <c r="L1490" s="1476"/>
      <c r="M1490" s="1477">
        <v>0</v>
      </c>
      <c r="N1490" s="1478">
        <v>1.5055090922249339</v>
      </c>
      <c r="O1490" s="1478"/>
    </row>
    <row r="1491" spans="11:15">
      <c r="K1491" s="1475">
        <v>43548</v>
      </c>
      <c r="L1491" s="1476"/>
      <c r="M1491" s="1477">
        <v>0</v>
      </c>
      <c r="N1491" s="1478">
        <v>1.5055090922249339</v>
      </c>
      <c r="O1491" s="1478"/>
    </row>
    <row r="1492" spans="11:15">
      <c r="K1492" s="1475">
        <v>43549</v>
      </c>
      <c r="L1492" s="1476" t="s">
        <v>2127</v>
      </c>
      <c r="M1492" s="1477">
        <v>2.462E-2</v>
      </c>
      <c r="N1492" s="1478">
        <v>1.5058797485634399</v>
      </c>
      <c r="O1492" s="1478"/>
    </row>
    <row r="1493" spans="11:15">
      <c r="K1493" s="1475">
        <v>43550</v>
      </c>
      <c r="L1493" s="1476" t="s">
        <v>2127</v>
      </c>
      <c r="M1493" s="1477">
        <v>2.462E-2</v>
      </c>
      <c r="N1493" s="1478">
        <v>1.5062504961575363</v>
      </c>
      <c r="O1493" s="1478"/>
    </row>
    <row r="1494" spans="11:15">
      <c r="K1494" s="1475">
        <v>43551</v>
      </c>
      <c r="L1494" s="1476" t="s">
        <v>2127</v>
      </c>
      <c r="M1494" s="1477">
        <v>2.462E-2</v>
      </c>
      <c r="N1494" s="1478">
        <v>1.5066213350296904</v>
      </c>
      <c r="O1494" s="1478"/>
    </row>
    <row r="1495" spans="11:15">
      <c r="K1495" s="1475">
        <v>43552</v>
      </c>
      <c r="L1495" s="1476" t="s">
        <v>2127</v>
      </c>
      <c r="M1495" s="1477">
        <v>2.462E-2</v>
      </c>
      <c r="N1495" s="1478">
        <v>1.5069922652023748</v>
      </c>
      <c r="O1495" s="1478"/>
    </row>
    <row r="1496" spans="11:15">
      <c r="K1496" s="1475">
        <v>43553</v>
      </c>
      <c r="L1496" s="1476" t="s">
        <v>2127</v>
      </c>
      <c r="M1496" s="1477">
        <v>2.462E-2</v>
      </c>
      <c r="N1496" s="1478">
        <v>1.5073632866980677</v>
      </c>
      <c r="O1496" s="1478"/>
    </row>
    <row r="1497" spans="11:15">
      <c r="K1497" s="1475">
        <v>43554</v>
      </c>
      <c r="L1497" s="1476"/>
      <c r="M1497" s="1477">
        <v>0</v>
      </c>
      <c r="N1497" s="1478">
        <v>1.5073632866980677</v>
      </c>
      <c r="O1497" s="1478"/>
    </row>
    <row r="1498" spans="11:15">
      <c r="K1498" s="1475">
        <v>43555</v>
      </c>
      <c r="L1498" s="1476"/>
      <c r="M1498" s="1477">
        <v>0</v>
      </c>
      <c r="N1498" s="1478">
        <v>1.5073632866980677</v>
      </c>
      <c r="O1498" s="1478"/>
    </row>
    <row r="1499" spans="11:15">
      <c r="K1499" s="1475">
        <v>43556</v>
      </c>
      <c r="L1499" s="1476" t="s">
        <v>2127</v>
      </c>
      <c r="M1499" s="1477">
        <v>2.462E-2</v>
      </c>
      <c r="N1499" s="1478">
        <v>1.5077343995392529</v>
      </c>
      <c r="O1499" s="1478"/>
    </row>
    <row r="1500" spans="11:15">
      <c r="K1500" s="1475">
        <v>43557</v>
      </c>
      <c r="L1500" s="1476" t="s">
        <v>2127</v>
      </c>
      <c r="M1500" s="1477">
        <v>2.462E-2</v>
      </c>
      <c r="N1500" s="1478">
        <v>1.5081056037484195</v>
      </c>
      <c r="O1500" s="1478"/>
    </row>
    <row r="1501" spans="11:15">
      <c r="K1501" s="1475">
        <v>43558</v>
      </c>
      <c r="L1501" s="1476" t="s">
        <v>2127</v>
      </c>
      <c r="M1501" s="1477">
        <v>2.462E-2</v>
      </c>
      <c r="N1501" s="1478">
        <v>1.5084768993480624</v>
      </c>
      <c r="O1501" s="1478"/>
    </row>
    <row r="1502" spans="11:15">
      <c r="K1502" s="1475">
        <v>43559</v>
      </c>
      <c r="L1502" s="1476" t="s">
        <v>2127</v>
      </c>
      <c r="M1502" s="1477">
        <v>2.462E-2</v>
      </c>
      <c r="N1502" s="1478">
        <v>1.508848286360682</v>
      </c>
      <c r="O1502" s="1478"/>
    </row>
    <row r="1503" spans="11:15">
      <c r="K1503" s="1475">
        <v>43560</v>
      </c>
      <c r="L1503" s="1476" t="s">
        <v>2127</v>
      </c>
      <c r="M1503" s="1477">
        <v>2.462E-2</v>
      </c>
      <c r="N1503" s="1478">
        <v>1.5092197648087842</v>
      </c>
      <c r="O1503" s="1478"/>
    </row>
    <row r="1504" spans="11:15">
      <c r="K1504" s="1475">
        <v>43561</v>
      </c>
      <c r="L1504" s="1476"/>
      <c r="M1504" s="1477">
        <v>0</v>
      </c>
      <c r="N1504" s="1478">
        <v>1.5092197648087842</v>
      </c>
      <c r="O1504" s="1478"/>
    </row>
    <row r="1505" spans="11:15">
      <c r="K1505" s="1475">
        <v>43562</v>
      </c>
      <c r="L1505" s="1476"/>
      <c r="M1505" s="1477">
        <v>0</v>
      </c>
      <c r="N1505" s="1478">
        <v>1.5092197648087842</v>
      </c>
      <c r="O1505" s="1478"/>
    </row>
    <row r="1506" spans="11:15">
      <c r="K1506" s="1475">
        <v>43563</v>
      </c>
      <c r="L1506" s="1476" t="s">
        <v>2127</v>
      </c>
      <c r="M1506" s="1477">
        <v>2.462E-2</v>
      </c>
      <c r="N1506" s="1478">
        <v>1.5095913347148802</v>
      </c>
      <c r="O1506" s="1478"/>
    </row>
    <row r="1507" spans="11:15">
      <c r="K1507" s="1475">
        <v>43564</v>
      </c>
      <c r="L1507" s="1476" t="s">
        <v>2127</v>
      </c>
      <c r="M1507" s="1477">
        <v>2.462E-2</v>
      </c>
      <c r="N1507" s="1478">
        <v>1.5099629961014871</v>
      </c>
      <c r="O1507" s="1478"/>
    </row>
    <row r="1508" spans="11:15">
      <c r="K1508" s="1475">
        <v>43565</v>
      </c>
      <c r="L1508" s="1476" t="s">
        <v>2127</v>
      </c>
      <c r="M1508" s="1477">
        <v>2.462E-2</v>
      </c>
      <c r="N1508" s="1478">
        <v>1.5103347489911274</v>
      </c>
      <c r="O1508" s="1478"/>
    </row>
    <row r="1509" spans="11:15">
      <c r="K1509" s="1475">
        <v>43566</v>
      </c>
      <c r="L1509" s="1476" t="s">
        <v>2127</v>
      </c>
      <c r="M1509" s="1477">
        <v>2.462E-2</v>
      </c>
      <c r="N1509" s="1478">
        <v>1.5107065934063291</v>
      </c>
      <c r="O1509" s="1478"/>
    </row>
    <row r="1510" spans="11:15">
      <c r="K1510" s="1475">
        <v>43567</v>
      </c>
      <c r="L1510" s="1476" t="s">
        <v>2127</v>
      </c>
      <c r="M1510" s="1477">
        <v>2.462E-2</v>
      </c>
      <c r="N1510" s="1478">
        <v>1.5110785293696258</v>
      </c>
      <c r="O1510" s="1478"/>
    </row>
    <row r="1511" spans="11:15">
      <c r="K1511" s="1475">
        <v>43568</v>
      </c>
      <c r="L1511" s="1476"/>
      <c r="M1511" s="1477">
        <v>0</v>
      </c>
      <c r="N1511" s="1478">
        <v>1.5110785293696258</v>
      </c>
      <c r="O1511" s="1478"/>
    </row>
    <row r="1512" spans="11:15">
      <c r="K1512" s="1475">
        <v>43569</v>
      </c>
      <c r="L1512" s="1476"/>
      <c r="M1512" s="1477">
        <v>0</v>
      </c>
      <c r="N1512" s="1478">
        <v>1.5110785293696258</v>
      </c>
      <c r="O1512" s="1478"/>
    </row>
    <row r="1513" spans="11:15">
      <c r="K1513" s="1475">
        <v>43570</v>
      </c>
      <c r="L1513" s="1476" t="s">
        <v>2127</v>
      </c>
      <c r="M1513" s="1477">
        <v>2.462E-2</v>
      </c>
      <c r="N1513" s="1478">
        <v>1.5114505569035568</v>
      </c>
      <c r="O1513" s="1478"/>
    </row>
    <row r="1514" spans="11:15">
      <c r="K1514" s="1475">
        <v>43571</v>
      </c>
      <c r="L1514" s="1476" t="s">
        <v>2127</v>
      </c>
      <c r="M1514" s="1477">
        <v>2.462E-2</v>
      </c>
      <c r="N1514" s="1478">
        <v>1.5118226760306666</v>
      </c>
      <c r="O1514" s="1478"/>
    </row>
    <row r="1515" spans="11:15">
      <c r="K1515" s="1475">
        <v>43572</v>
      </c>
      <c r="L1515" s="1476" t="s">
        <v>2127</v>
      </c>
      <c r="M1515" s="1477">
        <v>2.462E-2</v>
      </c>
      <c r="N1515" s="1478">
        <v>1.5121948867735053</v>
      </c>
      <c r="O1515" s="1478"/>
    </row>
    <row r="1516" spans="11:15">
      <c r="K1516" s="1475">
        <v>43573</v>
      </c>
      <c r="L1516" s="1476" t="s">
        <v>2127</v>
      </c>
      <c r="M1516" s="1477">
        <v>2.462E-2</v>
      </c>
      <c r="N1516" s="1478">
        <v>1.5125671891546291</v>
      </c>
      <c r="O1516" s="1478"/>
    </row>
    <row r="1517" spans="11:15">
      <c r="K1517" s="1475">
        <v>43574</v>
      </c>
      <c r="L1517" s="1476"/>
      <c r="M1517" s="1477">
        <v>0</v>
      </c>
      <c r="N1517" s="1478">
        <v>1.5125671891546291</v>
      </c>
      <c r="O1517" s="1478"/>
    </row>
    <row r="1518" spans="11:15">
      <c r="K1518" s="1475">
        <v>43575</v>
      </c>
      <c r="L1518" s="1476"/>
      <c r="M1518" s="1477">
        <v>0</v>
      </c>
      <c r="N1518" s="1478">
        <v>1.5125671891546291</v>
      </c>
      <c r="O1518" s="1478"/>
    </row>
    <row r="1519" spans="11:15">
      <c r="K1519" s="1475">
        <v>43576</v>
      </c>
      <c r="L1519" s="1476"/>
      <c r="M1519" s="1477">
        <v>0</v>
      </c>
      <c r="N1519" s="1478">
        <v>1.5125671891546291</v>
      </c>
      <c r="O1519" s="1478"/>
    </row>
    <row r="1520" spans="11:15">
      <c r="K1520" s="1475">
        <v>43577</v>
      </c>
      <c r="L1520" s="1476" t="s">
        <v>2127</v>
      </c>
      <c r="M1520" s="1477">
        <v>2.462E-2</v>
      </c>
      <c r="N1520" s="1478">
        <v>1.512939583196599</v>
      </c>
      <c r="O1520" s="1478"/>
    </row>
    <row r="1521" spans="11:15">
      <c r="K1521" s="1475">
        <v>43578</v>
      </c>
      <c r="L1521" s="1476" t="s">
        <v>2127</v>
      </c>
      <c r="M1521" s="1477">
        <v>2.462E-2</v>
      </c>
      <c r="N1521" s="1478">
        <v>1.5133120689219821</v>
      </c>
      <c r="O1521" s="1478"/>
    </row>
    <row r="1522" spans="11:15">
      <c r="K1522" s="1475">
        <v>43579</v>
      </c>
      <c r="L1522" s="1476" t="s">
        <v>2127</v>
      </c>
      <c r="M1522" s="1477">
        <v>2.462E-2</v>
      </c>
      <c r="N1522" s="1478">
        <v>1.5136846463533509</v>
      </c>
      <c r="O1522" s="1478"/>
    </row>
    <row r="1523" spans="11:15">
      <c r="K1523" s="1475">
        <v>43580</v>
      </c>
      <c r="L1523" s="1476" t="s">
        <v>2127</v>
      </c>
      <c r="M1523" s="1477">
        <v>2.462E-2</v>
      </c>
      <c r="N1523" s="1478">
        <v>1.5140573155132833</v>
      </c>
      <c r="O1523" s="1478"/>
    </row>
    <row r="1524" spans="11:15">
      <c r="K1524" s="1475">
        <v>43581</v>
      </c>
      <c r="L1524" s="1476" t="s">
        <v>2127</v>
      </c>
      <c r="M1524" s="1477">
        <v>2.462E-2</v>
      </c>
      <c r="N1524" s="1478">
        <v>1.5144300764243628</v>
      </c>
      <c r="O1524" s="1478"/>
    </row>
    <row r="1525" spans="11:15">
      <c r="K1525" s="1475">
        <v>43582</v>
      </c>
      <c r="L1525" s="1476"/>
      <c r="M1525" s="1477">
        <v>0</v>
      </c>
      <c r="N1525" s="1478">
        <v>1.5144300764243628</v>
      </c>
      <c r="O1525" s="1478"/>
    </row>
    <row r="1526" spans="11:15">
      <c r="K1526" s="1475">
        <v>43583</v>
      </c>
      <c r="L1526" s="1476"/>
      <c r="M1526" s="1477">
        <v>0</v>
      </c>
      <c r="N1526" s="1478">
        <v>1.5144300764243628</v>
      </c>
      <c r="O1526" s="1478"/>
    </row>
    <row r="1527" spans="11:15">
      <c r="K1527" s="1475">
        <v>43584</v>
      </c>
      <c r="L1527" s="1476" t="s">
        <v>2127</v>
      </c>
      <c r="M1527" s="1477">
        <v>2.462E-2</v>
      </c>
      <c r="N1527" s="1478">
        <v>1.5148029291091787</v>
      </c>
      <c r="O1527" s="1478"/>
    </row>
    <row r="1528" spans="11:15">
      <c r="K1528" s="1475">
        <v>43585</v>
      </c>
      <c r="L1528" s="1476" t="s">
        <v>2127</v>
      </c>
      <c r="M1528" s="1477">
        <v>2.462E-2</v>
      </c>
      <c r="N1528" s="1478">
        <v>1.5151758735903256</v>
      </c>
      <c r="O1528" s="1478"/>
    </row>
    <row r="1529" spans="11:15">
      <c r="K1529" s="1475">
        <v>43586</v>
      </c>
      <c r="L1529" s="1476"/>
      <c r="M1529" s="1477">
        <v>0</v>
      </c>
      <c r="N1529" s="1478">
        <v>1.5151758735903256</v>
      </c>
      <c r="O1529" s="1478"/>
    </row>
    <row r="1530" spans="11:15">
      <c r="K1530" s="1475">
        <v>43587</v>
      </c>
      <c r="L1530" s="1476" t="s">
        <v>2127</v>
      </c>
      <c r="M1530" s="1477">
        <v>2.462E-2</v>
      </c>
      <c r="N1530" s="1478">
        <v>1.5155489098904036</v>
      </c>
      <c r="O1530" s="1478"/>
    </row>
    <row r="1531" spans="11:15">
      <c r="K1531" s="1475">
        <v>43588</v>
      </c>
      <c r="L1531" s="1476" t="s">
        <v>2127</v>
      </c>
      <c r="M1531" s="1477">
        <v>2.462E-2</v>
      </c>
      <c r="N1531" s="1478">
        <v>1.5159220380320186</v>
      </c>
      <c r="O1531" s="1478"/>
    </row>
    <row r="1532" spans="11:15">
      <c r="K1532" s="1475">
        <v>43589</v>
      </c>
      <c r="L1532" s="1476"/>
      <c r="M1532" s="1477">
        <v>0</v>
      </c>
      <c r="N1532" s="1478">
        <v>1.5159220380320186</v>
      </c>
      <c r="O1532" s="1478"/>
    </row>
    <row r="1533" spans="11:15">
      <c r="K1533" s="1475">
        <v>43590</v>
      </c>
      <c r="L1533" s="1476"/>
      <c r="M1533" s="1477">
        <v>0</v>
      </c>
      <c r="N1533" s="1478">
        <v>1.5159220380320186</v>
      </c>
      <c r="O1533" s="1478"/>
    </row>
    <row r="1534" spans="11:15">
      <c r="K1534" s="1475">
        <v>43591</v>
      </c>
      <c r="L1534" s="1476" t="s">
        <v>2127</v>
      </c>
      <c r="M1534" s="1477">
        <v>2.462E-2</v>
      </c>
      <c r="N1534" s="1478">
        <v>1.5162952580377822</v>
      </c>
      <c r="O1534" s="1478"/>
    </row>
    <row r="1535" spans="11:15">
      <c r="K1535" s="1475">
        <v>43592</v>
      </c>
      <c r="L1535" s="1476" t="s">
        <v>2127</v>
      </c>
      <c r="M1535" s="1477">
        <v>2.462E-2</v>
      </c>
      <c r="N1535" s="1478">
        <v>1.5166685699303113</v>
      </c>
      <c r="O1535" s="1478"/>
    </row>
    <row r="1536" spans="11:15">
      <c r="K1536" s="1475">
        <v>43593</v>
      </c>
      <c r="L1536" s="1476" t="s">
        <v>2127</v>
      </c>
      <c r="M1536" s="1477">
        <v>2.462E-2</v>
      </c>
      <c r="N1536" s="1478">
        <v>1.5170419737322283</v>
      </c>
      <c r="O1536" s="1478"/>
    </row>
    <row r="1537" spans="11:15">
      <c r="K1537" s="1475">
        <v>43594</v>
      </c>
      <c r="L1537" s="1476" t="s">
        <v>2127</v>
      </c>
      <c r="M1537" s="1477">
        <v>2.462E-2</v>
      </c>
      <c r="N1537" s="1478">
        <v>1.5174154694661612</v>
      </c>
      <c r="O1537" s="1478"/>
    </row>
    <row r="1538" spans="11:15">
      <c r="K1538" s="1475">
        <v>43595</v>
      </c>
      <c r="L1538" s="1476" t="s">
        <v>2127</v>
      </c>
      <c r="M1538" s="1477">
        <v>2.462E-2</v>
      </c>
      <c r="N1538" s="1478">
        <v>1.5177890571547439</v>
      </c>
      <c r="O1538" s="1478"/>
    </row>
    <row r="1539" spans="11:15">
      <c r="K1539" s="1475">
        <v>43596</v>
      </c>
      <c r="L1539" s="1476"/>
      <c r="M1539" s="1477">
        <v>0</v>
      </c>
      <c r="N1539" s="1478">
        <v>1.5177890571547439</v>
      </c>
      <c r="O1539" s="1478"/>
    </row>
    <row r="1540" spans="11:15">
      <c r="K1540" s="1475">
        <v>43597</v>
      </c>
      <c r="L1540" s="1476"/>
      <c r="M1540" s="1477">
        <v>0</v>
      </c>
      <c r="N1540" s="1478">
        <v>1.5177890571547439</v>
      </c>
      <c r="O1540" s="1478"/>
    </row>
    <row r="1541" spans="11:15">
      <c r="K1541" s="1475">
        <v>43598</v>
      </c>
      <c r="L1541" s="1476" t="s">
        <v>2127</v>
      </c>
      <c r="M1541" s="1477">
        <v>2.462E-2</v>
      </c>
      <c r="N1541" s="1478">
        <v>1.5181627368206154</v>
      </c>
      <c r="O1541" s="1478"/>
    </row>
    <row r="1542" spans="11:15">
      <c r="K1542" s="1475">
        <v>43599</v>
      </c>
      <c r="L1542" s="1476" t="s">
        <v>2127</v>
      </c>
      <c r="M1542" s="1477">
        <v>2.462E-2</v>
      </c>
      <c r="N1542" s="1478">
        <v>1.5185365084864209</v>
      </c>
      <c r="O1542" s="1478"/>
    </row>
    <row r="1543" spans="11:15">
      <c r="K1543" s="1475">
        <v>43600</v>
      </c>
      <c r="L1543" s="1476" t="s">
        <v>2127</v>
      </c>
      <c r="M1543" s="1477">
        <v>2.462E-2</v>
      </c>
      <c r="N1543" s="1478">
        <v>1.5189103721748103</v>
      </c>
      <c r="O1543" s="1478"/>
    </row>
    <row r="1544" spans="11:15">
      <c r="K1544" s="1475">
        <v>43601</v>
      </c>
      <c r="L1544" s="1476" t="s">
        <v>2127</v>
      </c>
      <c r="M1544" s="1477">
        <v>2.462E-2</v>
      </c>
      <c r="N1544" s="1478">
        <v>1.5192843279084398</v>
      </c>
      <c r="O1544" s="1478"/>
    </row>
    <row r="1545" spans="11:15">
      <c r="K1545" s="1475">
        <v>43602</v>
      </c>
      <c r="L1545" s="1476" t="s">
        <v>2127</v>
      </c>
      <c r="M1545" s="1477">
        <v>2.462E-2</v>
      </c>
      <c r="N1545" s="1478">
        <v>1.5196583757099711</v>
      </c>
      <c r="O1545" s="1478"/>
    </row>
    <row r="1546" spans="11:15">
      <c r="K1546" s="1475">
        <v>43603</v>
      </c>
      <c r="L1546" s="1476"/>
      <c r="M1546" s="1477">
        <v>0</v>
      </c>
      <c r="N1546" s="1478">
        <v>1.5196583757099711</v>
      </c>
      <c r="O1546" s="1478"/>
    </row>
    <row r="1547" spans="11:15">
      <c r="K1547" s="1475">
        <v>43604</v>
      </c>
      <c r="L1547" s="1476"/>
      <c r="M1547" s="1477">
        <v>0</v>
      </c>
      <c r="N1547" s="1478">
        <v>1.5196583757099711</v>
      </c>
      <c r="O1547" s="1478"/>
    </row>
    <row r="1548" spans="11:15">
      <c r="K1548" s="1475">
        <v>43605</v>
      </c>
      <c r="L1548" s="1476" t="s">
        <v>2127</v>
      </c>
      <c r="M1548" s="1477">
        <v>2.462E-2</v>
      </c>
      <c r="N1548" s="1478">
        <v>1.5200325156020711</v>
      </c>
      <c r="O1548" s="1478"/>
    </row>
    <row r="1549" spans="11:15">
      <c r="K1549" s="1475">
        <v>43606</v>
      </c>
      <c r="L1549" s="1476" t="s">
        <v>2127</v>
      </c>
      <c r="M1549" s="1477">
        <v>2.462E-2</v>
      </c>
      <c r="N1549" s="1478">
        <v>1.5204067476074123</v>
      </c>
      <c r="O1549" s="1478"/>
    </row>
    <row r="1550" spans="11:15">
      <c r="K1550" s="1475">
        <v>43607</v>
      </c>
      <c r="L1550" s="1476" t="s">
        <v>2127</v>
      </c>
      <c r="M1550" s="1477">
        <v>2.462E-2</v>
      </c>
      <c r="N1550" s="1478">
        <v>1.5207810717486734</v>
      </c>
      <c r="O1550" s="1478"/>
    </row>
    <row r="1551" spans="11:15">
      <c r="K1551" s="1475">
        <v>43608</v>
      </c>
      <c r="L1551" s="1476" t="s">
        <v>2127</v>
      </c>
      <c r="M1551" s="1477">
        <v>2.462E-2</v>
      </c>
      <c r="N1551" s="1478">
        <v>1.5211554880485381</v>
      </c>
      <c r="O1551" s="1478"/>
    </row>
    <row r="1552" spans="11:15">
      <c r="K1552" s="1475">
        <v>43609</v>
      </c>
      <c r="L1552" s="1476" t="s">
        <v>2127</v>
      </c>
      <c r="M1552" s="1477">
        <v>2.462E-2</v>
      </c>
      <c r="N1552" s="1478">
        <v>1.5215299965296958</v>
      </c>
      <c r="O1552" s="1478"/>
    </row>
    <row r="1553" spans="11:15">
      <c r="K1553" s="1475">
        <v>43610</v>
      </c>
      <c r="L1553" s="1476"/>
      <c r="M1553" s="1477">
        <v>0</v>
      </c>
      <c r="N1553" s="1478">
        <v>1.5215299965296958</v>
      </c>
      <c r="O1553" s="1478"/>
    </row>
    <row r="1554" spans="11:15">
      <c r="K1554" s="1475">
        <v>43611</v>
      </c>
      <c r="L1554" s="1476"/>
      <c r="M1554" s="1477">
        <v>0</v>
      </c>
      <c r="N1554" s="1478">
        <v>1.5215299965296958</v>
      </c>
      <c r="O1554" s="1478"/>
    </row>
    <row r="1555" spans="11:15">
      <c r="K1555" s="1475">
        <v>43612</v>
      </c>
      <c r="L1555" s="1476" t="s">
        <v>2127</v>
      </c>
      <c r="M1555" s="1477">
        <v>2.462E-2</v>
      </c>
      <c r="N1555" s="1478">
        <v>1.5219045972148415</v>
      </c>
      <c r="O1555" s="1478"/>
    </row>
    <row r="1556" spans="11:15">
      <c r="K1556" s="1475">
        <v>43613</v>
      </c>
      <c r="L1556" s="1476" t="s">
        <v>2127</v>
      </c>
      <c r="M1556" s="1477">
        <v>2.462E-2</v>
      </c>
      <c r="N1556" s="1478">
        <v>1.522279290126676</v>
      </c>
      <c r="O1556" s="1478"/>
    </row>
    <row r="1557" spans="11:15">
      <c r="K1557" s="1475">
        <v>43614</v>
      </c>
      <c r="L1557" s="1476" t="s">
        <v>2127</v>
      </c>
      <c r="M1557" s="1477">
        <v>2.462E-2</v>
      </c>
      <c r="N1557" s="1478">
        <v>1.5226540752879052</v>
      </c>
      <c r="O1557" s="1478"/>
    </row>
    <row r="1558" spans="11:15">
      <c r="K1558" s="1475">
        <v>43615</v>
      </c>
      <c r="L1558" s="1476" t="s">
        <v>2127</v>
      </c>
      <c r="M1558" s="1477">
        <v>2.462E-2</v>
      </c>
      <c r="N1558" s="1478">
        <v>1.5230289527212413</v>
      </c>
      <c r="O1558" s="1478"/>
    </row>
    <row r="1559" spans="11:15">
      <c r="K1559" s="1475">
        <v>43616</v>
      </c>
      <c r="L1559" s="1476" t="s">
        <v>2127</v>
      </c>
      <c r="M1559" s="1477">
        <v>2.462E-2</v>
      </c>
      <c r="N1559" s="1478">
        <v>1.5234039224494014</v>
      </c>
      <c r="O1559" s="1478"/>
    </row>
    <row r="1560" spans="11:15">
      <c r="K1560" s="1475">
        <v>43617</v>
      </c>
      <c r="L1560" s="1476"/>
      <c r="M1560" s="1477">
        <v>0</v>
      </c>
      <c r="N1560" s="1478">
        <v>1.5234039224494014</v>
      </c>
      <c r="O1560" s="1478"/>
    </row>
    <row r="1561" spans="11:15">
      <c r="K1561" s="1475">
        <v>43618</v>
      </c>
      <c r="L1561" s="1476"/>
      <c r="M1561" s="1477">
        <v>0</v>
      </c>
      <c r="N1561" s="1478">
        <v>1.5234039224494014</v>
      </c>
      <c r="O1561" s="1478"/>
    </row>
    <row r="1562" spans="11:15">
      <c r="K1562" s="1475">
        <v>43619</v>
      </c>
      <c r="L1562" s="1476" t="s">
        <v>2127</v>
      </c>
      <c r="M1562" s="1477">
        <v>2.462E-2</v>
      </c>
      <c r="N1562" s="1478">
        <v>1.5237789844951086</v>
      </c>
      <c r="O1562" s="1478"/>
    </row>
    <row r="1563" spans="11:15">
      <c r="K1563" s="1475">
        <v>43620</v>
      </c>
      <c r="L1563" s="1476" t="s">
        <v>2127</v>
      </c>
      <c r="M1563" s="1477">
        <v>2.462E-2</v>
      </c>
      <c r="N1563" s="1478">
        <v>1.5241541388810915</v>
      </c>
      <c r="O1563" s="1478"/>
    </row>
    <row r="1564" spans="11:15">
      <c r="K1564" s="1475">
        <v>43621</v>
      </c>
      <c r="L1564" s="1476" t="s">
        <v>2127</v>
      </c>
      <c r="M1564" s="1477">
        <v>2.462E-2</v>
      </c>
      <c r="N1564" s="1478">
        <v>1.5245293856300841</v>
      </c>
      <c r="O1564" s="1478"/>
    </row>
    <row r="1565" spans="11:15">
      <c r="K1565" s="1475">
        <v>43622</v>
      </c>
      <c r="L1565" s="1476" t="s">
        <v>2127</v>
      </c>
      <c r="M1565" s="1477">
        <v>2.462E-2</v>
      </c>
      <c r="N1565" s="1478">
        <v>1.5249047247648264</v>
      </c>
      <c r="O1565" s="1478"/>
    </row>
    <row r="1566" spans="11:15">
      <c r="K1566" s="1475">
        <v>43623</v>
      </c>
      <c r="L1566" s="1476" t="s">
        <v>2127</v>
      </c>
      <c r="M1566" s="1477">
        <v>2.462E-2</v>
      </c>
      <c r="N1566" s="1478">
        <v>1.5252801563080636</v>
      </c>
      <c r="O1566" s="1478"/>
    </row>
    <row r="1567" spans="11:15">
      <c r="K1567" s="1475">
        <v>43624</v>
      </c>
      <c r="L1567" s="1476"/>
      <c r="M1567" s="1477">
        <v>0</v>
      </c>
      <c r="N1567" s="1478">
        <v>1.5252801563080636</v>
      </c>
      <c r="O1567" s="1478"/>
    </row>
    <row r="1568" spans="11:15">
      <c r="K1568" s="1475">
        <v>43625</v>
      </c>
      <c r="L1568" s="1476"/>
      <c r="M1568" s="1477">
        <v>0</v>
      </c>
      <c r="N1568" s="1478">
        <v>1.5252801563080636</v>
      </c>
      <c r="O1568" s="1478"/>
    </row>
    <row r="1569" spans="11:15">
      <c r="K1569" s="1475">
        <v>43626</v>
      </c>
      <c r="L1569" s="1476" t="s">
        <v>2127</v>
      </c>
      <c r="M1569" s="1477">
        <v>2.462E-2</v>
      </c>
      <c r="N1569" s="1478">
        <v>1.5256556802825467</v>
      </c>
      <c r="O1569" s="1478"/>
    </row>
    <row r="1570" spans="11:15">
      <c r="K1570" s="1475">
        <v>43627</v>
      </c>
      <c r="L1570" s="1476" t="s">
        <v>2127</v>
      </c>
      <c r="M1570" s="1477">
        <v>2.462E-2</v>
      </c>
      <c r="N1570" s="1478">
        <v>1.5260312967110323</v>
      </c>
      <c r="O1570" s="1478"/>
    </row>
    <row r="1571" spans="11:15">
      <c r="K1571" s="1475">
        <v>43628</v>
      </c>
      <c r="L1571" s="1476" t="s">
        <v>2127</v>
      </c>
      <c r="M1571" s="1477">
        <v>2.462E-2</v>
      </c>
      <c r="N1571" s="1478">
        <v>1.5264070056162826</v>
      </c>
      <c r="O1571" s="1478"/>
    </row>
    <row r="1572" spans="11:15">
      <c r="K1572" s="1475">
        <v>43629</v>
      </c>
      <c r="L1572" s="1476" t="s">
        <v>2127</v>
      </c>
      <c r="M1572" s="1477">
        <v>2.462E-2</v>
      </c>
      <c r="N1572" s="1478">
        <v>1.5267828070210654</v>
      </c>
      <c r="O1572" s="1478"/>
    </row>
    <row r="1573" spans="11:15">
      <c r="K1573" s="1475">
        <v>43630</v>
      </c>
      <c r="L1573" s="1476" t="s">
        <v>2127</v>
      </c>
      <c r="M1573" s="1477">
        <v>2.462E-2</v>
      </c>
      <c r="N1573" s="1478">
        <v>1.5271587009481542</v>
      </c>
      <c r="O1573" s="1478"/>
    </row>
    <row r="1574" spans="11:15">
      <c r="K1574" s="1475">
        <v>43631</v>
      </c>
      <c r="L1574" s="1476"/>
      <c r="M1574" s="1477">
        <v>0</v>
      </c>
      <c r="N1574" s="1478">
        <v>1.5271587009481542</v>
      </c>
      <c r="O1574" s="1478"/>
    </row>
    <row r="1575" spans="11:15">
      <c r="K1575" s="1475">
        <v>43632</v>
      </c>
      <c r="L1575" s="1476"/>
      <c r="M1575" s="1477">
        <v>0</v>
      </c>
      <c r="N1575" s="1478">
        <v>1.5271587009481542</v>
      </c>
      <c r="O1575" s="1478"/>
    </row>
    <row r="1576" spans="11:15">
      <c r="K1576" s="1475">
        <v>43633</v>
      </c>
      <c r="L1576" s="1476" t="s">
        <v>2127</v>
      </c>
      <c r="M1576" s="1477">
        <v>2.462E-2</v>
      </c>
      <c r="N1576" s="1478">
        <v>1.5275346874203277</v>
      </c>
      <c r="O1576" s="1478"/>
    </row>
    <row r="1577" spans="11:15">
      <c r="K1577" s="1475">
        <v>43634</v>
      </c>
      <c r="L1577" s="1476" t="s">
        <v>2127</v>
      </c>
      <c r="M1577" s="1477">
        <v>2.462E-2</v>
      </c>
      <c r="N1577" s="1478">
        <v>1.5279107664603708</v>
      </c>
      <c r="O1577" s="1478"/>
    </row>
    <row r="1578" spans="11:15">
      <c r="K1578" s="1475">
        <v>43635</v>
      </c>
      <c r="L1578" s="1476" t="s">
        <v>2127</v>
      </c>
      <c r="M1578" s="1477">
        <v>2.462E-2</v>
      </c>
      <c r="N1578" s="1478">
        <v>1.5282869380910735</v>
      </c>
      <c r="O1578" s="1478"/>
    </row>
    <row r="1579" spans="11:15">
      <c r="K1579" s="1475">
        <v>43636</v>
      </c>
      <c r="L1579" s="1476"/>
      <c r="M1579" s="1477">
        <v>0</v>
      </c>
      <c r="N1579" s="1478">
        <v>1.5282869380910735</v>
      </c>
      <c r="O1579" s="1478"/>
    </row>
    <row r="1580" spans="11:15">
      <c r="K1580" s="1475">
        <v>43637</v>
      </c>
      <c r="L1580" s="1476" t="s">
        <v>2127</v>
      </c>
      <c r="M1580" s="1477">
        <v>2.462E-2</v>
      </c>
      <c r="N1580" s="1478">
        <v>1.5286632023352316</v>
      </c>
      <c r="O1580" s="1478"/>
    </row>
    <row r="1581" spans="11:15">
      <c r="K1581" s="1475">
        <v>43638</v>
      </c>
      <c r="L1581" s="1476"/>
      <c r="M1581" s="1477">
        <v>0</v>
      </c>
      <c r="N1581" s="1478">
        <v>1.5286632023352316</v>
      </c>
      <c r="O1581" s="1478"/>
    </row>
    <row r="1582" spans="11:15">
      <c r="K1582" s="1475">
        <v>43639</v>
      </c>
      <c r="L1582" s="1476"/>
      <c r="M1582" s="1477">
        <v>0</v>
      </c>
      <c r="N1582" s="1478">
        <v>1.5286632023352316</v>
      </c>
      <c r="O1582" s="1478"/>
    </row>
    <row r="1583" spans="11:15">
      <c r="K1583" s="1475">
        <v>43640</v>
      </c>
      <c r="L1583" s="1476" t="s">
        <v>2127</v>
      </c>
      <c r="M1583" s="1477">
        <v>2.462E-2</v>
      </c>
      <c r="N1583" s="1478">
        <v>1.5290395592156467</v>
      </c>
      <c r="O1583" s="1478"/>
    </row>
    <row r="1584" spans="11:15">
      <c r="K1584" s="1475">
        <v>43641</v>
      </c>
      <c r="L1584" s="1476" t="s">
        <v>2127</v>
      </c>
      <c r="M1584" s="1477">
        <v>2.462E-2</v>
      </c>
      <c r="N1584" s="1478">
        <v>1.5294160087551258</v>
      </c>
      <c r="O1584" s="1478"/>
    </row>
    <row r="1585" spans="11:15">
      <c r="K1585" s="1475">
        <v>43642</v>
      </c>
      <c r="L1585" s="1476" t="s">
        <v>2127</v>
      </c>
      <c r="M1585" s="1477">
        <v>2.462E-2</v>
      </c>
      <c r="N1585" s="1478">
        <v>1.5297925509764816</v>
      </c>
      <c r="O1585" s="1478"/>
    </row>
    <row r="1586" spans="11:15">
      <c r="K1586" s="1475">
        <v>43643</v>
      </c>
      <c r="L1586" s="1476" t="s">
        <v>2127</v>
      </c>
      <c r="M1586" s="1477">
        <v>2.462E-2</v>
      </c>
      <c r="N1586" s="1478">
        <v>1.5301691859025321</v>
      </c>
      <c r="O1586" s="1478"/>
    </row>
    <row r="1587" spans="11:15">
      <c r="K1587" s="1475">
        <v>43644</v>
      </c>
      <c r="L1587" s="1476" t="s">
        <v>2127</v>
      </c>
      <c r="M1587" s="1477">
        <v>2.462E-2</v>
      </c>
      <c r="N1587" s="1478">
        <v>1.5305459135561015</v>
      </c>
      <c r="O1587" s="1478"/>
    </row>
    <row r="1588" spans="11:15">
      <c r="K1588" s="1475">
        <v>43645</v>
      </c>
      <c r="L1588" s="1476"/>
      <c r="M1588" s="1477">
        <v>0</v>
      </c>
      <c r="N1588" s="1478">
        <v>1.5305459135561015</v>
      </c>
      <c r="O1588" s="1478"/>
    </row>
    <row r="1589" spans="11:15">
      <c r="K1589" s="1475">
        <v>43646</v>
      </c>
      <c r="L1589" s="1476"/>
      <c r="M1589" s="1477">
        <v>0</v>
      </c>
      <c r="N1589" s="1478">
        <v>1.5305459135561015</v>
      </c>
      <c r="O1589" s="1478"/>
    </row>
    <row r="1590" spans="11:15">
      <c r="K1590" s="1475">
        <v>43647</v>
      </c>
      <c r="L1590" s="1476" t="s">
        <v>2127</v>
      </c>
      <c r="M1590" s="1477">
        <v>2.462E-2</v>
      </c>
      <c r="N1590" s="1478">
        <v>1.5309227339600191</v>
      </c>
      <c r="O1590" s="1478"/>
    </row>
    <row r="1591" spans="11:15">
      <c r="K1591" s="1475">
        <v>43648</v>
      </c>
      <c r="L1591" s="1476" t="s">
        <v>2127</v>
      </c>
      <c r="M1591" s="1477">
        <v>2.462E-2</v>
      </c>
      <c r="N1591" s="1478">
        <v>1.5312996471371201</v>
      </c>
      <c r="O1591" s="1478"/>
    </row>
    <row r="1592" spans="11:15">
      <c r="K1592" s="1475">
        <v>43649</v>
      </c>
      <c r="L1592" s="1476" t="s">
        <v>2127</v>
      </c>
      <c r="M1592" s="1477">
        <v>2.462E-2</v>
      </c>
      <c r="N1592" s="1478">
        <v>1.5316766531102455</v>
      </c>
      <c r="O1592" s="1478"/>
    </row>
    <row r="1593" spans="11:15">
      <c r="K1593" s="1475">
        <v>43650</v>
      </c>
      <c r="L1593" s="1476" t="s">
        <v>2127</v>
      </c>
      <c r="M1593" s="1477">
        <v>2.462E-2</v>
      </c>
      <c r="N1593" s="1478">
        <v>1.5320537519022412</v>
      </c>
      <c r="O1593" s="1478"/>
    </row>
    <row r="1594" spans="11:15">
      <c r="K1594" s="1475">
        <v>43651</v>
      </c>
      <c r="L1594" s="1476" t="s">
        <v>2127</v>
      </c>
      <c r="M1594" s="1477">
        <v>2.462E-2</v>
      </c>
      <c r="N1594" s="1478">
        <v>1.5324309435359598</v>
      </c>
      <c r="O1594" s="1478"/>
    </row>
    <row r="1595" spans="11:15">
      <c r="K1595" s="1475">
        <v>43652</v>
      </c>
      <c r="L1595" s="1476"/>
      <c r="M1595" s="1477">
        <v>0</v>
      </c>
      <c r="N1595" s="1478">
        <v>1.5324309435359598</v>
      </c>
      <c r="O1595" s="1478"/>
    </row>
    <row r="1596" spans="11:15">
      <c r="K1596" s="1475">
        <v>43653</v>
      </c>
      <c r="L1596" s="1476"/>
      <c r="M1596" s="1477">
        <v>0</v>
      </c>
      <c r="N1596" s="1478">
        <v>1.5324309435359598</v>
      </c>
      <c r="O1596" s="1478"/>
    </row>
    <row r="1597" spans="11:15">
      <c r="K1597" s="1475">
        <v>43654</v>
      </c>
      <c r="L1597" s="1476" t="s">
        <v>2127</v>
      </c>
      <c r="M1597" s="1477">
        <v>2.462E-2</v>
      </c>
      <c r="N1597" s="1478">
        <v>1.5328082280342585</v>
      </c>
      <c r="O1597" s="1478"/>
    </row>
    <row r="1598" spans="11:15">
      <c r="K1598" s="1475">
        <v>43655</v>
      </c>
      <c r="L1598" s="1476" t="s">
        <v>2127</v>
      </c>
      <c r="M1598" s="1477">
        <v>2.462E-2</v>
      </c>
      <c r="N1598" s="1478">
        <v>1.5331856054200006</v>
      </c>
      <c r="O1598" s="1478"/>
    </row>
    <row r="1599" spans="11:15">
      <c r="K1599" s="1475">
        <v>43656</v>
      </c>
      <c r="L1599" s="1476" t="s">
        <v>2127</v>
      </c>
      <c r="M1599" s="1477">
        <v>2.462E-2</v>
      </c>
      <c r="N1599" s="1478">
        <v>1.5335630757160552</v>
      </c>
      <c r="O1599" s="1478"/>
    </row>
    <row r="1600" spans="11:15">
      <c r="K1600" s="1475">
        <v>43657</v>
      </c>
      <c r="L1600" s="1476" t="s">
        <v>2127</v>
      </c>
      <c r="M1600" s="1477">
        <v>2.462E-2</v>
      </c>
      <c r="N1600" s="1478">
        <v>1.5339406389452965</v>
      </c>
      <c r="O1600" s="1478"/>
    </row>
    <row r="1601" spans="11:15">
      <c r="K1601" s="1475">
        <v>43658</v>
      </c>
      <c r="L1601" s="1476" t="s">
        <v>2127</v>
      </c>
      <c r="M1601" s="1477">
        <v>2.462E-2</v>
      </c>
      <c r="N1601" s="1478">
        <v>1.5343182951306049</v>
      </c>
      <c r="O1601" s="1478"/>
    </row>
    <row r="1602" spans="11:15">
      <c r="K1602" s="1475">
        <v>43659</v>
      </c>
      <c r="L1602" s="1476"/>
      <c r="M1602" s="1477">
        <v>0</v>
      </c>
      <c r="N1602" s="1478">
        <v>1.5343182951306049</v>
      </c>
      <c r="O1602" s="1478"/>
    </row>
    <row r="1603" spans="11:15">
      <c r="K1603" s="1475">
        <v>43660</v>
      </c>
      <c r="L1603" s="1476"/>
      <c r="M1603" s="1477">
        <v>0</v>
      </c>
      <c r="N1603" s="1478">
        <v>1.5343182951306049</v>
      </c>
      <c r="O1603" s="1478"/>
    </row>
    <row r="1604" spans="11:15">
      <c r="K1604" s="1475">
        <v>43661</v>
      </c>
      <c r="L1604" s="1476" t="s">
        <v>2127</v>
      </c>
      <c r="M1604" s="1477">
        <v>2.462E-2</v>
      </c>
      <c r="N1604" s="1478">
        <v>1.5346960442948663</v>
      </c>
      <c r="O1604" s="1478"/>
    </row>
    <row r="1605" spans="11:15">
      <c r="K1605" s="1475">
        <v>43662</v>
      </c>
      <c r="L1605" s="1476" t="s">
        <v>2127</v>
      </c>
      <c r="M1605" s="1477">
        <v>2.462E-2</v>
      </c>
      <c r="N1605" s="1478">
        <v>1.5350738864609719</v>
      </c>
      <c r="O1605" s="1478"/>
    </row>
    <row r="1606" spans="11:15">
      <c r="K1606" s="1475">
        <v>43663</v>
      </c>
      <c r="L1606" s="1476" t="s">
        <v>2127</v>
      </c>
      <c r="M1606" s="1477">
        <v>2.462E-2</v>
      </c>
      <c r="N1606" s="1478">
        <v>1.5354518216518187</v>
      </c>
      <c r="O1606" s="1478"/>
    </row>
    <row r="1607" spans="11:15">
      <c r="K1607" s="1475">
        <v>43664</v>
      </c>
      <c r="L1607" s="1476" t="s">
        <v>2127</v>
      </c>
      <c r="M1607" s="1477">
        <v>2.462E-2</v>
      </c>
      <c r="N1607" s="1478">
        <v>1.5358298498903096</v>
      </c>
      <c r="O1607" s="1478"/>
    </row>
    <row r="1608" spans="11:15">
      <c r="K1608" s="1475">
        <v>43665</v>
      </c>
      <c r="L1608" s="1476" t="s">
        <v>2127</v>
      </c>
      <c r="M1608" s="1477">
        <v>2.462E-2</v>
      </c>
      <c r="N1608" s="1478">
        <v>1.5362079711993526</v>
      </c>
      <c r="O1608" s="1478"/>
    </row>
    <row r="1609" spans="11:15">
      <c r="K1609" s="1475">
        <v>43666</v>
      </c>
      <c r="L1609" s="1476"/>
      <c r="M1609" s="1477">
        <v>0</v>
      </c>
      <c r="N1609" s="1478">
        <v>1.5362079711993526</v>
      </c>
      <c r="O1609" s="1478"/>
    </row>
    <row r="1610" spans="11:15">
      <c r="K1610" s="1475">
        <v>43667</v>
      </c>
      <c r="L1610" s="1476"/>
      <c r="M1610" s="1477">
        <v>0</v>
      </c>
      <c r="N1610" s="1478">
        <v>1.5362079711993526</v>
      </c>
      <c r="O1610" s="1478"/>
    </row>
    <row r="1611" spans="11:15">
      <c r="K1611" s="1475">
        <v>43668</v>
      </c>
      <c r="L1611" s="1476" t="s">
        <v>2127</v>
      </c>
      <c r="M1611" s="1477">
        <v>2.462E-2</v>
      </c>
      <c r="N1611" s="1478">
        <v>1.5365861856018621</v>
      </c>
      <c r="O1611" s="1478"/>
    </row>
    <row r="1612" spans="11:15">
      <c r="K1612" s="1475">
        <v>43669</v>
      </c>
      <c r="L1612" s="1476" t="s">
        <v>2127</v>
      </c>
      <c r="M1612" s="1477">
        <v>2.462E-2</v>
      </c>
      <c r="N1612" s="1478">
        <v>1.5369644931207573</v>
      </c>
      <c r="O1612" s="1478"/>
    </row>
    <row r="1613" spans="11:15">
      <c r="K1613" s="1475">
        <v>43670</v>
      </c>
      <c r="L1613" s="1476" t="s">
        <v>2127</v>
      </c>
      <c r="M1613" s="1477">
        <v>2.462E-2</v>
      </c>
      <c r="N1613" s="1478">
        <v>1.5373428937789637</v>
      </c>
      <c r="O1613" s="1478"/>
    </row>
    <row r="1614" spans="11:15">
      <c r="K1614" s="1475">
        <v>43671</v>
      </c>
      <c r="L1614" s="1476" t="s">
        <v>2127</v>
      </c>
      <c r="M1614" s="1477">
        <v>2.462E-2</v>
      </c>
      <c r="N1614" s="1478">
        <v>1.5377213875994122</v>
      </c>
      <c r="O1614" s="1478"/>
    </row>
    <row r="1615" spans="11:15">
      <c r="K1615" s="1475">
        <v>43672</v>
      </c>
      <c r="L1615" s="1476" t="s">
        <v>2127</v>
      </c>
      <c r="M1615" s="1477">
        <v>2.462E-2</v>
      </c>
      <c r="N1615" s="1478">
        <v>1.5380999746050394</v>
      </c>
      <c r="O1615" s="1478"/>
    </row>
    <row r="1616" spans="11:15">
      <c r="K1616" s="1475">
        <v>43673</v>
      </c>
      <c r="L1616" s="1476"/>
      <c r="M1616" s="1477">
        <v>0</v>
      </c>
      <c r="N1616" s="1478">
        <v>1.5380999746050394</v>
      </c>
      <c r="O1616" s="1478"/>
    </row>
    <row r="1617" spans="11:15">
      <c r="K1617" s="1475">
        <v>43674</v>
      </c>
      <c r="L1617" s="1476"/>
      <c r="M1617" s="1477">
        <v>0</v>
      </c>
      <c r="N1617" s="1478">
        <v>1.5380999746050394</v>
      </c>
      <c r="O1617" s="1478"/>
    </row>
    <row r="1618" spans="11:15">
      <c r="K1618" s="1475">
        <v>43675</v>
      </c>
      <c r="L1618" s="1476" t="s">
        <v>2127</v>
      </c>
      <c r="M1618" s="1477">
        <v>2.462E-2</v>
      </c>
      <c r="N1618" s="1478">
        <v>1.5384786548187874</v>
      </c>
      <c r="O1618" s="1478"/>
    </row>
    <row r="1619" spans="11:15">
      <c r="K1619" s="1475">
        <v>43676</v>
      </c>
      <c r="L1619" s="1476" t="s">
        <v>2127</v>
      </c>
      <c r="M1619" s="1477">
        <v>2.462E-2</v>
      </c>
      <c r="N1619" s="1478">
        <v>1.5388574282636041</v>
      </c>
      <c r="O1619" s="1478"/>
    </row>
    <row r="1620" spans="11:15">
      <c r="K1620" s="1475">
        <v>43677</v>
      </c>
      <c r="L1620" s="1476" t="s">
        <v>2127</v>
      </c>
      <c r="M1620" s="1477">
        <v>2.462E-2</v>
      </c>
      <c r="N1620" s="1478">
        <v>1.5392362949624427</v>
      </c>
      <c r="O1620" s="1478"/>
    </row>
    <row r="1621" spans="11:15">
      <c r="K1621" s="1475">
        <v>43678</v>
      </c>
      <c r="L1621" s="1476" t="s">
        <v>2127</v>
      </c>
      <c r="M1621" s="1477">
        <v>2.2751E-2</v>
      </c>
      <c r="N1621" s="1478">
        <v>1.5395864866119096</v>
      </c>
      <c r="O1621" s="1478"/>
    </row>
    <row r="1622" spans="11:15">
      <c r="K1622" s="1475">
        <v>43679</v>
      </c>
      <c r="L1622" s="1476" t="s">
        <v>2127</v>
      </c>
      <c r="M1622" s="1477">
        <v>2.2751E-2</v>
      </c>
      <c r="N1622" s="1478">
        <v>1.5399367579334786</v>
      </c>
      <c r="O1622" s="1478"/>
    </row>
    <row r="1623" spans="11:15">
      <c r="K1623" s="1475">
        <v>43680</v>
      </c>
      <c r="L1623" s="1476"/>
      <c r="M1623" s="1477">
        <v>0</v>
      </c>
      <c r="N1623" s="1478">
        <v>1.5399367579334786</v>
      </c>
      <c r="O1623" s="1478"/>
    </row>
    <row r="1624" spans="11:15">
      <c r="K1624" s="1475">
        <v>43681</v>
      </c>
      <c r="L1624" s="1476"/>
      <c r="M1624" s="1477">
        <v>0</v>
      </c>
      <c r="N1624" s="1478">
        <v>1.5399367579334786</v>
      </c>
      <c r="O1624" s="1478"/>
    </row>
    <row r="1625" spans="11:15">
      <c r="K1625" s="1475">
        <v>43682</v>
      </c>
      <c r="L1625" s="1476" t="s">
        <v>2127</v>
      </c>
      <c r="M1625" s="1477">
        <v>2.2751E-2</v>
      </c>
      <c r="N1625" s="1478">
        <v>1.5402871089452761</v>
      </c>
      <c r="O1625" s="1478"/>
    </row>
    <row r="1626" spans="11:15">
      <c r="K1626" s="1475">
        <v>43683</v>
      </c>
      <c r="L1626" s="1476" t="s">
        <v>2127</v>
      </c>
      <c r="M1626" s="1477">
        <v>2.2751E-2</v>
      </c>
      <c r="N1626" s="1478">
        <v>1.5406375396654322</v>
      </c>
      <c r="O1626" s="1478"/>
    </row>
    <row r="1627" spans="11:15">
      <c r="K1627" s="1475">
        <v>43684</v>
      </c>
      <c r="L1627" s="1476" t="s">
        <v>2127</v>
      </c>
      <c r="M1627" s="1477">
        <v>2.2751E-2</v>
      </c>
      <c r="N1627" s="1478">
        <v>1.5409880501120814</v>
      </c>
      <c r="O1627" s="1478"/>
    </row>
    <row r="1628" spans="11:15">
      <c r="K1628" s="1475">
        <v>43685</v>
      </c>
      <c r="L1628" s="1476" t="s">
        <v>2127</v>
      </c>
      <c r="M1628" s="1477">
        <v>2.2751E-2</v>
      </c>
      <c r="N1628" s="1478">
        <v>1.5413386403033624</v>
      </c>
      <c r="O1628" s="1478"/>
    </row>
    <row r="1629" spans="11:15">
      <c r="K1629" s="1475">
        <v>43686</v>
      </c>
      <c r="L1629" s="1476" t="s">
        <v>2127</v>
      </c>
      <c r="M1629" s="1477">
        <v>2.2751E-2</v>
      </c>
      <c r="N1629" s="1478">
        <v>1.5416893102574178</v>
      </c>
      <c r="O1629" s="1478"/>
    </row>
    <row r="1630" spans="11:15">
      <c r="K1630" s="1475">
        <v>43687</v>
      </c>
      <c r="L1630" s="1476"/>
      <c r="M1630" s="1477">
        <v>0</v>
      </c>
      <c r="N1630" s="1478">
        <v>1.5416893102574178</v>
      </c>
      <c r="O1630" s="1478"/>
    </row>
    <row r="1631" spans="11:15">
      <c r="K1631" s="1475">
        <v>43688</v>
      </c>
      <c r="L1631" s="1476"/>
      <c r="M1631" s="1477">
        <v>0</v>
      </c>
      <c r="N1631" s="1478">
        <v>1.5416893102574178</v>
      </c>
      <c r="O1631" s="1478"/>
    </row>
    <row r="1632" spans="11:15">
      <c r="K1632" s="1475">
        <v>43689</v>
      </c>
      <c r="L1632" s="1476" t="s">
        <v>2127</v>
      </c>
      <c r="M1632" s="1477">
        <v>2.2751E-2</v>
      </c>
      <c r="N1632" s="1478">
        <v>1.5420400599923945</v>
      </c>
      <c r="O1632" s="1478"/>
    </row>
    <row r="1633" spans="11:15">
      <c r="K1633" s="1475">
        <v>43690</v>
      </c>
      <c r="L1633" s="1476" t="s">
        <v>2127</v>
      </c>
      <c r="M1633" s="1477">
        <v>2.2751E-2</v>
      </c>
      <c r="N1633" s="1478">
        <v>1.5423908895264433</v>
      </c>
      <c r="O1633" s="1478"/>
    </row>
    <row r="1634" spans="11:15">
      <c r="K1634" s="1475">
        <v>43691</v>
      </c>
      <c r="L1634" s="1476" t="s">
        <v>2127</v>
      </c>
      <c r="M1634" s="1477">
        <v>2.2751E-2</v>
      </c>
      <c r="N1634" s="1478">
        <v>1.5427417988777195</v>
      </c>
      <c r="O1634" s="1478"/>
    </row>
    <row r="1635" spans="11:15">
      <c r="K1635" s="1475">
        <v>43692</v>
      </c>
      <c r="L1635" s="1476" t="s">
        <v>2127</v>
      </c>
      <c r="M1635" s="1477">
        <v>2.2751E-2</v>
      </c>
      <c r="N1635" s="1478">
        <v>1.5430927880643821</v>
      </c>
      <c r="O1635" s="1478"/>
    </row>
    <row r="1636" spans="11:15">
      <c r="K1636" s="1475">
        <v>43693</v>
      </c>
      <c r="L1636" s="1476" t="s">
        <v>2127</v>
      </c>
      <c r="M1636" s="1477">
        <v>2.2751E-2</v>
      </c>
      <c r="N1636" s="1478">
        <v>1.5434438571045945</v>
      </c>
      <c r="O1636" s="1478"/>
    </row>
    <row r="1637" spans="11:15">
      <c r="K1637" s="1475">
        <v>43694</v>
      </c>
      <c r="L1637" s="1476"/>
      <c r="M1637" s="1477">
        <v>0</v>
      </c>
      <c r="N1637" s="1478">
        <v>1.5434438571045945</v>
      </c>
      <c r="O1637" s="1478"/>
    </row>
    <row r="1638" spans="11:15">
      <c r="K1638" s="1475">
        <v>43695</v>
      </c>
      <c r="L1638" s="1476"/>
      <c r="M1638" s="1477">
        <v>0</v>
      </c>
      <c r="N1638" s="1478">
        <v>1.5434438571045945</v>
      </c>
      <c r="O1638" s="1478"/>
    </row>
    <row r="1639" spans="11:15">
      <c r="K1639" s="1475">
        <v>43696</v>
      </c>
      <c r="L1639" s="1476" t="s">
        <v>2127</v>
      </c>
      <c r="M1639" s="1477">
        <v>2.2751E-2</v>
      </c>
      <c r="N1639" s="1478">
        <v>1.5437950060165244</v>
      </c>
      <c r="O1639" s="1478"/>
    </row>
    <row r="1640" spans="11:15">
      <c r="K1640" s="1475">
        <v>43697</v>
      </c>
      <c r="L1640" s="1476" t="s">
        <v>2127</v>
      </c>
      <c r="M1640" s="1477">
        <v>2.2751E-2</v>
      </c>
      <c r="N1640" s="1478">
        <v>1.5441462348183432</v>
      </c>
      <c r="O1640" s="1478"/>
    </row>
    <row r="1641" spans="11:15">
      <c r="K1641" s="1475">
        <v>43698</v>
      </c>
      <c r="L1641" s="1476" t="s">
        <v>2127</v>
      </c>
      <c r="M1641" s="1477">
        <v>2.2751E-2</v>
      </c>
      <c r="N1641" s="1478">
        <v>1.5444975435282267</v>
      </c>
      <c r="O1641" s="1478"/>
    </row>
    <row r="1642" spans="11:15">
      <c r="K1642" s="1475">
        <v>43699</v>
      </c>
      <c r="L1642" s="1476" t="s">
        <v>2127</v>
      </c>
      <c r="M1642" s="1477">
        <v>2.2751E-2</v>
      </c>
      <c r="N1642" s="1478">
        <v>1.5448489321643548</v>
      </c>
      <c r="O1642" s="1478"/>
    </row>
    <row r="1643" spans="11:15">
      <c r="K1643" s="1475">
        <v>43700</v>
      </c>
      <c r="L1643" s="1476" t="s">
        <v>2127</v>
      </c>
      <c r="M1643" s="1477">
        <v>2.2751E-2</v>
      </c>
      <c r="N1643" s="1478">
        <v>1.5452004007449116</v>
      </c>
      <c r="O1643" s="1478"/>
    </row>
    <row r="1644" spans="11:15">
      <c r="K1644" s="1475">
        <v>43701</v>
      </c>
      <c r="L1644" s="1476"/>
      <c r="M1644" s="1477">
        <v>0</v>
      </c>
      <c r="N1644" s="1478">
        <v>1.5452004007449116</v>
      </c>
      <c r="O1644" s="1478"/>
    </row>
    <row r="1645" spans="11:15">
      <c r="K1645" s="1475">
        <v>43702</v>
      </c>
      <c r="L1645" s="1476"/>
      <c r="M1645" s="1477">
        <v>0</v>
      </c>
      <c r="N1645" s="1478">
        <v>1.5452004007449116</v>
      </c>
      <c r="O1645" s="1478"/>
    </row>
    <row r="1646" spans="11:15">
      <c r="K1646" s="1475">
        <v>43703</v>
      </c>
      <c r="L1646" s="1476" t="s">
        <v>2127</v>
      </c>
      <c r="M1646" s="1477">
        <v>2.2751E-2</v>
      </c>
      <c r="N1646" s="1478">
        <v>1.5455519492880851</v>
      </c>
      <c r="O1646" s="1478"/>
    </row>
    <row r="1647" spans="11:15">
      <c r="K1647" s="1475">
        <v>43704</v>
      </c>
      <c r="L1647" s="1476" t="s">
        <v>2127</v>
      </c>
      <c r="M1647" s="1477">
        <v>2.2751E-2</v>
      </c>
      <c r="N1647" s="1478">
        <v>1.5459035778120676</v>
      </c>
      <c r="O1647" s="1478"/>
    </row>
    <row r="1648" spans="11:15">
      <c r="K1648" s="1475">
        <v>43705</v>
      </c>
      <c r="L1648" s="1476" t="s">
        <v>2127</v>
      </c>
      <c r="M1648" s="1477">
        <v>2.2751E-2</v>
      </c>
      <c r="N1648" s="1478">
        <v>1.5462552863350556</v>
      </c>
      <c r="O1648" s="1478"/>
    </row>
    <row r="1649" spans="11:15">
      <c r="K1649" s="1475">
        <v>43706</v>
      </c>
      <c r="L1649" s="1476" t="s">
        <v>2127</v>
      </c>
      <c r="M1649" s="1477">
        <v>2.2751E-2</v>
      </c>
      <c r="N1649" s="1478">
        <v>1.5466070748752496</v>
      </c>
      <c r="O1649" s="1478"/>
    </row>
    <row r="1650" spans="11:15">
      <c r="K1650" s="1475">
        <v>43707</v>
      </c>
      <c r="L1650" s="1476" t="s">
        <v>2127</v>
      </c>
      <c r="M1650" s="1477">
        <v>2.2751E-2</v>
      </c>
      <c r="N1650" s="1478">
        <v>1.5469589434508544</v>
      </c>
      <c r="O1650" s="1478"/>
    </row>
    <row r="1651" spans="11:15">
      <c r="K1651" s="1475">
        <v>43708</v>
      </c>
      <c r="L1651" s="1476"/>
      <c r="M1651" s="1477">
        <v>0</v>
      </c>
      <c r="N1651" s="1478">
        <v>1.5469589434508544</v>
      </c>
      <c r="O1651" s="1478"/>
    </row>
    <row r="1652" spans="11:15">
      <c r="K1652" s="1475">
        <v>43709</v>
      </c>
      <c r="L1652" s="1476"/>
      <c r="M1652" s="1477">
        <v>0</v>
      </c>
      <c r="N1652" s="1478">
        <v>1.5469589434508544</v>
      </c>
      <c r="O1652" s="1478"/>
    </row>
    <row r="1653" spans="11:15">
      <c r="K1653" s="1475">
        <v>43710</v>
      </c>
      <c r="L1653" s="1476" t="s">
        <v>2127</v>
      </c>
      <c r="M1653" s="1477">
        <v>2.2751E-2</v>
      </c>
      <c r="N1653" s="1478">
        <v>1.5473108920800789</v>
      </c>
      <c r="O1653" s="1478"/>
    </row>
    <row r="1654" spans="11:15">
      <c r="K1654" s="1475">
        <v>43711</v>
      </c>
      <c r="L1654" s="1476" t="s">
        <v>2127</v>
      </c>
      <c r="M1654" s="1477">
        <v>2.2751E-2</v>
      </c>
      <c r="N1654" s="1478">
        <v>1.5476629207811361</v>
      </c>
      <c r="O1654" s="1478"/>
    </row>
    <row r="1655" spans="11:15">
      <c r="K1655" s="1475">
        <v>43712</v>
      </c>
      <c r="L1655" s="1476" t="s">
        <v>2127</v>
      </c>
      <c r="M1655" s="1477">
        <v>2.2751E-2</v>
      </c>
      <c r="N1655" s="1478">
        <v>1.548015029572243</v>
      </c>
      <c r="O1655" s="1478"/>
    </row>
    <row r="1656" spans="11:15">
      <c r="K1656" s="1475">
        <v>43713</v>
      </c>
      <c r="L1656" s="1476" t="s">
        <v>2127</v>
      </c>
      <c r="M1656" s="1477">
        <v>2.2751E-2</v>
      </c>
      <c r="N1656" s="1478">
        <v>1.5483672184716211</v>
      </c>
      <c r="O1656" s="1478"/>
    </row>
    <row r="1657" spans="11:15">
      <c r="K1657" s="1475">
        <v>43714</v>
      </c>
      <c r="L1657" s="1476" t="s">
        <v>2127</v>
      </c>
      <c r="M1657" s="1477">
        <v>2.2751E-2</v>
      </c>
      <c r="N1657" s="1478">
        <v>1.5487194874974954</v>
      </c>
      <c r="O1657" s="1478"/>
    </row>
    <row r="1658" spans="11:15">
      <c r="K1658" s="1475">
        <v>43715</v>
      </c>
      <c r="L1658" s="1476"/>
      <c r="M1658" s="1477">
        <v>0</v>
      </c>
      <c r="N1658" s="1478">
        <v>1.5487194874974954</v>
      </c>
      <c r="O1658" s="1478"/>
    </row>
    <row r="1659" spans="11:15">
      <c r="K1659" s="1475">
        <v>43716</v>
      </c>
      <c r="L1659" s="1476"/>
      <c r="M1659" s="1477">
        <v>0</v>
      </c>
      <c r="N1659" s="1478">
        <v>1.5487194874974954</v>
      </c>
      <c r="O1659" s="1478"/>
    </row>
    <row r="1660" spans="11:15">
      <c r="K1660" s="1475">
        <v>43717</v>
      </c>
      <c r="L1660" s="1476" t="s">
        <v>2127</v>
      </c>
      <c r="M1660" s="1477">
        <v>2.2751E-2</v>
      </c>
      <c r="N1660" s="1478">
        <v>1.549071836668096</v>
      </c>
      <c r="O1660" s="1478"/>
    </row>
    <row r="1661" spans="11:15">
      <c r="K1661" s="1475">
        <v>43718</v>
      </c>
      <c r="L1661" s="1476" t="s">
        <v>2127</v>
      </c>
      <c r="M1661" s="1477">
        <v>2.2751E-2</v>
      </c>
      <c r="N1661" s="1478">
        <v>1.5494242660016564</v>
      </c>
      <c r="O1661" s="1478"/>
    </row>
    <row r="1662" spans="11:15">
      <c r="K1662" s="1475">
        <v>43719</v>
      </c>
      <c r="L1662" s="1476" t="s">
        <v>2127</v>
      </c>
      <c r="M1662" s="1477">
        <v>2.2751E-2</v>
      </c>
      <c r="N1662" s="1478">
        <v>1.5497767755164145</v>
      </c>
      <c r="O1662" s="1478"/>
    </row>
    <row r="1663" spans="11:15">
      <c r="K1663" s="1475">
        <v>43720</v>
      </c>
      <c r="L1663" s="1476" t="s">
        <v>2127</v>
      </c>
      <c r="M1663" s="1477">
        <v>2.2751E-2</v>
      </c>
      <c r="N1663" s="1478">
        <v>1.5501293652306123</v>
      </c>
      <c r="O1663" s="1478"/>
    </row>
    <row r="1664" spans="11:15">
      <c r="K1664" s="1475">
        <v>43721</v>
      </c>
      <c r="L1664" s="1476" t="s">
        <v>2127</v>
      </c>
      <c r="M1664" s="1477">
        <v>2.2751E-2</v>
      </c>
      <c r="N1664" s="1478">
        <v>1.5504820351624959</v>
      </c>
      <c r="O1664" s="1478"/>
    </row>
    <row r="1665" spans="11:15">
      <c r="K1665" s="1475">
        <v>43722</v>
      </c>
      <c r="L1665" s="1476"/>
      <c r="M1665" s="1477">
        <v>0</v>
      </c>
      <c r="N1665" s="1478">
        <v>1.5504820351624959</v>
      </c>
      <c r="O1665" s="1478"/>
    </row>
    <row r="1666" spans="11:15">
      <c r="K1666" s="1475">
        <v>43723</v>
      </c>
      <c r="L1666" s="1476"/>
      <c r="M1666" s="1477">
        <v>0</v>
      </c>
      <c r="N1666" s="1478">
        <v>1.5504820351624959</v>
      </c>
      <c r="O1666" s="1478"/>
    </row>
    <row r="1667" spans="11:15">
      <c r="K1667" s="1475">
        <v>43724</v>
      </c>
      <c r="L1667" s="1476" t="s">
        <v>2127</v>
      </c>
      <c r="M1667" s="1477">
        <v>2.2751E-2</v>
      </c>
      <c r="N1667" s="1478">
        <v>1.5508347853303157</v>
      </c>
      <c r="O1667" s="1478"/>
    </row>
    <row r="1668" spans="11:15">
      <c r="K1668" s="1475">
        <v>43725</v>
      </c>
      <c r="L1668" s="1476" t="s">
        <v>2127</v>
      </c>
      <c r="M1668" s="1477">
        <v>2.2751E-2</v>
      </c>
      <c r="N1668" s="1478">
        <v>1.5511876157523261</v>
      </c>
      <c r="O1668" s="1478"/>
    </row>
    <row r="1669" spans="11:15">
      <c r="K1669" s="1475">
        <v>43726</v>
      </c>
      <c r="L1669" s="1476" t="s">
        <v>2127</v>
      </c>
      <c r="M1669" s="1477">
        <v>2.2751E-2</v>
      </c>
      <c r="N1669" s="1478">
        <v>1.5515405264467859</v>
      </c>
      <c r="O1669" s="1478"/>
    </row>
    <row r="1670" spans="11:15">
      <c r="K1670" s="1475">
        <v>43727</v>
      </c>
      <c r="L1670" s="1476" t="s">
        <v>2127</v>
      </c>
      <c r="M1670" s="1477">
        <v>2.0872000000000002E-2</v>
      </c>
      <c r="N1670" s="1478">
        <v>1.5518643639854659</v>
      </c>
      <c r="O1670" s="1478"/>
    </row>
    <row r="1671" spans="11:15">
      <c r="K1671" s="1475">
        <v>43728</v>
      </c>
      <c r="L1671" s="1476" t="s">
        <v>2127</v>
      </c>
      <c r="M1671" s="1477">
        <v>2.0872000000000002E-2</v>
      </c>
      <c r="N1671" s="1478">
        <v>1.5521882691155171</v>
      </c>
      <c r="O1671" s="1478"/>
    </row>
    <row r="1672" spans="11:15">
      <c r="K1672" s="1475">
        <v>43729</v>
      </c>
      <c r="L1672" s="1476"/>
      <c r="M1672" s="1477">
        <v>0</v>
      </c>
      <c r="N1672" s="1478">
        <v>1.5521882691155171</v>
      </c>
      <c r="O1672" s="1478"/>
    </row>
    <row r="1673" spans="11:15">
      <c r="K1673" s="1475">
        <v>43730</v>
      </c>
      <c r="L1673" s="1476"/>
      <c r="M1673" s="1477">
        <v>0</v>
      </c>
      <c r="N1673" s="1478">
        <v>1.5521882691155171</v>
      </c>
      <c r="O1673" s="1478"/>
    </row>
    <row r="1674" spans="11:15">
      <c r="K1674" s="1475">
        <v>43731</v>
      </c>
      <c r="L1674" s="1476" t="s">
        <v>2127</v>
      </c>
      <c r="M1674" s="1477">
        <v>2.0872000000000002E-2</v>
      </c>
      <c r="N1674" s="1478">
        <v>1.5525122418510471</v>
      </c>
      <c r="O1674" s="1478"/>
    </row>
    <row r="1675" spans="11:15">
      <c r="K1675" s="1475">
        <v>43732</v>
      </c>
      <c r="L1675" s="1476" t="s">
        <v>2127</v>
      </c>
      <c r="M1675" s="1477">
        <v>2.0872000000000002E-2</v>
      </c>
      <c r="N1675" s="1478">
        <v>1.5528362822061663</v>
      </c>
      <c r="O1675" s="1478"/>
    </row>
    <row r="1676" spans="11:15">
      <c r="K1676" s="1475">
        <v>43733</v>
      </c>
      <c r="L1676" s="1476" t="s">
        <v>2127</v>
      </c>
      <c r="M1676" s="1477">
        <v>2.0872000000000002E-2</v>
      </c>
      <c r="N1676" s="1478">
        <v>1.5531603901949884</v>
      </c>
      <c r="O1676" s="1478"/>
    </row>
    <row r="1677" spans="11:15">
      <c r="K1677" s="1475">
        <v>43734</v>
      </c>
      <c r="L1677" s="1476" t="s">
        <v>2127</v>
      </c>
      <c r="M1677" s="1477">
        <v>2.0872000000000002E-2</v>
      </c>
      <c r="N1677" s="1478">
        <v>1.5534845658316301</v>
      </c>
      <c r="O1677" s="1478"/>
    </row>
    <row r="1678" spans="11:15">
      <c r="K1678" s="1475">
        <v>43735</v>
      </c>
      <c r="L1678" s="1476" t="s">
        <v>2127</v>
      </c>
      <c r="M1678" s="1477">
        <v>2.0872000000000002E-2</v>
      </c>
      <c r="N1678" s="1478">
        <v>1.5538088091302105</v>
      </c>
      <c r="O1678" s="1478"/>
    </row>
    <row r="1679" spans="11:15">
      <c r="K1679" s="1475">
        <v>43736</v>
      </c>
      <c r="L1679" s="1476"/>
      <c r="M1679" s="1477">
        <v>0</v>
      </c>
      <c r="N1679" s="1478">
        <v>1.5538088091302105</v>
      </c>
      <c r="O1679" s="1478"/>
    </row>
    <row r="1680" spans="11:15">
      <c r="K1680" s="1475">
        <v>43737</v>
      </c>
      <c r="L1680" s="1476"/>
      <c r="M1680" s="1477">
        <v>0</v>
      </c>
      <c r="N1680" s="1478">
        <v>1.5538088091302105</v>
      </c>
      <c r="O1680" s="1478"/>
    </row>
    <row r="1681" spans="11:15">
      <c r="K1681" s="1475">
        <v>43738</v>
      </c>
      <c r="L1681" s="1476" t="s">
        <v>2127</v>
      </c>
      <c r="M1681" s="1477">
        <v>2.0872000000000002E-2</v>
      </c>
      <c r="N1681" s="1478">
        <v>1.5541331201048523</v>
      </c>
      <c r="O1681" s="1478"/>
    </row>
    <row r="1682" spans="11:15">
      <c r="K1682" s="1475">
        <v>43739</v>
      </c>
      <c r="L1682" s="1476" t="s">
        <v>2127</v>
      </c>
      <c r="M1682" s="1477">
        <v>2.0872000000000002E-2</v>
      </c>
      <c r="N1682" s="1478">
        <v>1.5544574987696806</v>
      </c>
      <c r="O1682" s="1478"/>
    </row>
    <row r="1683" spans="11:15">
      <c r="K1683" s="1475">
        <v>43740</v>
      </c>
      <c r="L1683" s="1476" t="s">
        <v>2127</v>
      </c>
      <c r="M1683" s="1477">
        <v>2.0872000000000002E-2</v>
      </c>
      <c r="N1683" s="1478">
        <v>1.5547819451388238</v>
      </c>
      <c r="O1683" s="1478"/>
    </row>
    <row r="1684" spans="11:15">
      <c r="K1684" s="1475">
        <v>43741</v>
      </c>
      <c r="L1684" s="1476" t="s">
        <v>2127</v>
      </c>
      <c r="M1684" s="1477">
        <v>2.0872000000000002E-2</v>
      </c>
      <c r="N1684" s="1478">
        <v>1.5551064592264132</v>
      </c>
      <c r="O1684" s="1478"/>
    </row>
    <row r="1685" spans="11:15">
      <c r="K1685" s="1475">
        <v>43742</v>
      </c>
      <c r="L1685" s="1476" t="s">
        <v>2127</v>
      </c>
      <c r="M1685" s="1477">
        <v>2.0872000000000002E-2</v>
      </c>
      <c r="N1685" s="1478">
        <v>1.555431041046583</v>
      </c>
      <c r="O1685" s="1478"/>
    </row>
    <row r="1686" spans="11:15">
      <c r="K1686" s="1475">
        <v>43743</v>
      </c>
      <c r="L1686" s="1476"/>
      <c r="M1686" s="1477">
        <v>0</v>
      </c>
      <c r="N1686" s="1478">
        <v>1.555431041046583</v>
      </c>
      <c r="O1686" s="1478"/>
    </row>
    <row r="1687" spans="11:15">
      <c r="K1687" s="1475">
        <v>43744</v>
      </c>
      <c r="L1687" s="1476"/>
      <c r="M1687" s="1477">
        <v>0</v>
      </c>
      <c r="N1687" s="1478">
        <v>1.555431041046583</v>
      </c>
      <c r="O1687" s="1478"/>
    </row>
    <row r="1688" spans="11:15">
      <c r="K1688" s="1475">
        <v>43745</v>
      </c>
      <c r="L1688" s="1476" t="s">
        <v>2127</v>
      </c>
      <c r="M1688" s="1477">
        <v>2.0872000000000002E-2</v>
      </c>
      <c r="N1688" s="1478">
        <v>1.5557556906134704</v>
      </c>
      <c r="O1688" s="1478"/>
    </row>
    <row r="1689" spans="11:15">
      <c r="K1689" s="1475">
        <v>43746</v>
      </c>
      <c r="L1689" s="1476" t="s">
        <v>2127</v>
      </c>
      <c r="M1689" s="1477">
        <v>2.0872000000000002E-2</v>
      </c>
      <c r="N1689" s="1478">
        <v>1.5560804079412154</v>
      </c>
      <c r="O1689" s="1478"/>
    </row>
    <row r="1690" spans="11:15">
      <c r="K1690" s="1475">
        <v>43747</v>
      </c>
      <c r="L1690" s="1476" t="s">
        <v>2127</v>
      </c>
      <c r="M1690" s="1477">
        <v>2.0872000000000002E-2</v>
      </c>
      <c r="N1690" s="1478">
        <v>1.5564051930439609</v>
      </c>
      <c r="O1690" s="1478"/>
    </row>
    <row r="1691" spans="11:15">
      <c r="K1691" s="1475">
        <v>43748</v>
      </c>
      <c r="L1691" s="1476" t="s">
        <v>2127</v>
      </c>
      <c r="M1691" s="1477">
        <v>2.0872000000000002E-2</v>
      </c>
      <c r="N1691" s="1478">
        <v>1.5567300459358531</v>
      </c>
      <c r="O1691" s="1478"/>
    </row>
    <row r="1692" spans="11:15">
      <c r="K1692" s="1475">
        <v>43749</v>
      </c>
      <c r="L1692" s="1476" t="s">
        <v>2127</v>
      </c>
      <c r="M1692" s="1477">
        <v>2.0872000000000002E-2</v>
      </c>
      <c r="N1692" s="1478">
        <v>1.5570549666310409</v>
      </c>
      <c r="O1692" s="1478"/>
    </row>
    <row r="1693" spans="11:15">
      <c r="K1693" s="1475">
        <v>43750</v>
      </c>
      <c r="L1693" s="1476"/>
      <c r="M1693" s="1477">
        <v>0</v>
      </c>
      <c r="N1693" s="1478">
        <v>1.5570549666310409</v>
      </c>
      <c r="O1693" s="1478"/>
    </row>
    <row r="1694" spans="11:15">
      <c r="K1694" s="1475">
        <v>43751</v>
      </c>
      <c r="L1694" s="1476"/>
      <c r="M1694" s="1477">
        <v>0</v>
      </c>
      <c r="N1694" s="1478">
        <v>1.5570549666310409</v>
      </c>
      <c r="O1694" s="1478"/>
    </row>
    <row r="1695" spans="11:15">
      <c r="K1695" s="1475">
        <v>43752</v>
      </c>
      <c r="L1695" s="1476" t="s">
        <v>2127</v>
      </c>
      <c r="M1695" s="1477">
        <v>2.0872000000000002E-2</v>
      </c>
      <c r="N1695" s="1478">
        <v>1.5573799551436762</v>
      </c>
      <c r="O1695" s="1478"/>
    </row>
    <row r="1696" spans="11:15">
      <c r="K1696" s="1475">
        <v>43753</v>
      </c>
      <c r="L1696" s="1476" t="s">
        <v>2127</v>
      </c>
      <c r="M1696" s="1477">
        <v>2.0872000000000002E-2</v>
      </c>
      <c r="N1696" s="1478">
        <v>1.5577050114879138</v>
      </c>
      <c r="O1696" s="1478"/>
    </row>
    <row r="1697" spans="11:15">
      <c r="K1697" s="1475">
        <v>43754</v>
      </c>
      <c r="L1697" s="1476" t="s">
        <v>2127</v>
      </c>
      <c r="M1697" s="1477">
        <v>2.0872000000000002E-2</v>
      </c>
      <c r="N1697" s="1478">
        <v>1.5580301356779116</v>
      </c>
      <c r="O1697" s="1478"/>
    </row>
    <row r="1698" spans="11:15">
      <c r="K1698" s="1475">
        <v>43755</v>
      </c>
      <c r="L1698" s="1476" t="s">
        <v>2127</v>
      </c>
      <c r="M1698" s="1477">
        <v>2.0872000000000002E-2</v>
      </c>
      <c r="N1698" s="1478">
        <v>1.5583553277278304</v>
      </c>
      <c r="O1698" s="1478"/>
    </row>
    <row r="1699" spans="11:15">
      <c r="K1699" s="1475">
        <v>43756</v>
      </c>
      <c r="L1699" s="1476" t="s">
        <v>2127</v>
      </c>
      <c r="M1699" s="1477">
        <v>2.0872000000000002E-2</v>
      </c>
      <c r="N1699" s="1478">
        <v>1.5586805876518337</v>
      </c>
      <c r="O1699" s="1478"/>
    </row>
    <row r="1700" spans="11:15">
      <c r="K1700" s="1475">
        <v>43757</v>
      </c>
      <c r="L1700" s="1476"/>
      <c r="M1700" s="1477">
        <v>0</v>
      </c>
      <c r="N1700" s="1478">
        <v>1.5586805876518337</v>
      </c>
      <c r="O1700" s="1478"/>
    </row>
    <row r="1701" spans="11:15">
      <c r="K1701" s="1475">
        <v>43758</v>
      </c>
      <c r="L1701" s="1476"/>
      <c r="M1701" s="1477">
        <v>0</v>
      </c>
      <c r="N1701" s="1478">
        <v>1.5586805876518337</v>
      </c>
      <c r="O1701" s="1478"/>
    </row>
    <row r="1702" spans="11:15">
      <c r="K1702" s="1475">
        <v>43759</v>
      </c>
      <c r="L1702" s="1476" t="s">
        <v>2127</v>
      </c>
      <c r="M1702" s="1477">
        <v>2.0872000000000002E-2</v>
      </c>
      <c r="N1702" s="1478">
        <v>1.5590059154640885</v>
      </c>
      <c r="O1702" s="1478"/>
    </row>
    <row r="1703" spans="11:15">
      <c r="K1703" s="1475">
        <v>43760</v>
      </c>
      <c r="L1703" s="1476" t="s">
        <v>2127</v>
      </c>
      <c r="M1703" s="1477">
        <v>2.0872000000000002E-2</v>
      </c>
      <c r="N1703" s="1478">
        <v>1.5593313111787643</v>
      </c>
      <c r="O1703" s="1478"/>
    </row>
    <row r="1704" spans="11:15">
      <c r="K1704" s="1475">
        <v>43761</v>
      </c>
      <c r="L1704" s="1476" t="s">
        <v>2127</v>
      </c>
      <c r="M1704" s="1477">
        <v>2.0872000000000002E-2</v>
      </c>
      <c r="N1704" s="1478">
        <v>1.5596567748100336</v>
      </c>
      <c r="O1704" s="1478"/>
    </row>
    <row r="1705" spans="11:15">
      <c r="K1705" s="1475">
        <v>43762</v>
      </c>
      <c r="L1705" s="1476" t="s">
        <v>2127</v>
      </c>
      <c r="M1705" s="1477">
        <v>2.0872000000000002E-2</v>
      </c>
      <c r="N1705" s="1478">
        <v>1.5599823063720721</v>
      </c>
      <c r="O1705" s="1478"/>
    </row>
    <row r="1706" spans="11:15">
      <c r="K1706" s="1475">
        <v>43763</v>
      </c>
      <c r="L1706" s="1476" t="s">
        <v>2127</v>
      </c>
      <c r="M1706" s="1477">
        <v>2.0872000000000002E-2</v>
      </c>
      <c r="N1706" s="1478">
        <v>1.5603079058790581</v>
      </c>
      <c r="O1706" s="1478"/>
    </row>
    <row r="1707" spans="11:15">
      <c r="K1707" s="1475">
        <v>43764</v>
      </c>
      <c r="L1707" s="1476"/>
      <c r="M1707" s="1477">
        <v>0</v>
      </c>
      <c r="N1707" s="1478">
        <v>1.5603079058790581</v>
      </c>
      <c r="O1707" s="1478"/>
    </row>
    <row r="1708" spans="11:15">
      <c r="K1708" s="1475">
        <v>43765</v>
      </c>
      <c r="L1708" s="1476"/>
      <c r="M1708" s="1477">
        <v>0</v>
      </c>
      <c r="N1708" s="1478">
        <v>1.5603079058790581</v>
      </c>
      <c r="O1708" s="1478"/>
    </row>
    <row r="1709" spans="11:15">
      <c r="K1709" s="1475">
        <v>43766</v>
      </c>
      <c r="L1709" s="1476" t="s">
        <v>2127</v>
      </c>
      <c r="M1709" s="1477">
        <v>2.0872000000000002E-2</v>
      </c>
      <c r="N1709" s="1478">
        <v>1.5606335733451733</v>
      </c>
      <c r="O1709" s="1478"/>
    </row>
    <row r="1710" spans="11:15">
      <c r="K1710" s="1475">
        <v>43767</v>
      </c>
      <c r="L1710" s="1476" t="s">
        <v>2127</v>
      </c>
      <c r="M1710" s="1477">
        <v>2.0872000000000002E-2</v>
      </c>
      <c r="N1710" s="1478">
        <v>1.5609593087846019</v>
      </c>
      <c r="O1710" s="1478"/>
    </row>
    <row r="1711" spans="11:15">
      <c r="K1711" s="1475">
        <v>43768</v>
      </c>
      <c r="L1711" s="1476" t="s">
        <v>2127</v>
      </c>
      <c r="M1711" s="1477">
        <v>2.0872000000000002E-2</v>
      </c>
      <c r="N1711" s="1478">
        <v>1.5612851122115314</v>
      </c>
      <c r="O1711" s="1478"/>
    </row>
    <row r="1712" spans="11:15">
      <c r="K1712" s="1475">
        <v>43769</v>
      </c>
      <c r="L1712" s="1476" t="s">
        <v>2127</v>
      </c>
      <c r="M1712" s="1477">
        <v>1.8984999999999998E-2</v>
      </c>
      <c r="N1712" s="1478">
        <v>1.5615815221900846</v>
      </c>
      <c r="O1712" s="1478"/>
    </row>
    <row r="1713" spans="11:15">
      <c r="K1713" s="1475">
        <v>43770</v>
      </c>
      <c r="L1713" s="1476" t="s">
        <v>2127</v>
      </c>
      <c r="M1713" s="1477">
        <v>1.8984999999999998E-2</v>
      </c>
      <c r="N1713" s="1478">
        <v>1.5618779884420724</v>
      </c>
      <c r="O1713" s="1478"/>
    </row>
    <row r="1714" spans="11:15">
      <c r="K1714" s="1475">
        <v>43771</v>
      </c>
      <c r="L1714" s="1476"/>
      <c r="M1714" s="1477">
        <v>0</v>
      </c>
      <c r="N1714" s="1478">
        <v>1.5618779884420724</v>
      </c>
      <c r="O1714" s="1478"/>
    </row>
    <row r="1715" spans="11:15">
      <c r="K1715" s="1475">
        <v>43772</v>
      </c>
      <c r="L1715" s="1476"/>
      <c r="M1715" s="1477">
        <v>0</v>
      </c>
      <c r="N1715" s="1478">
        <v>1.5618779884420724</v>
      </c>
      <c r="O1715" s="1478"/>
    </row>
    <row r="1716" spans="11:15">
      <c r="K1716" s="1475">
        <v>43773</v>
      </c>
      <c r="L1716" s="1476" t="s">
        <v>2127</v>
      </c>
      <c r="M1716" s="1477">
        <v>1.8984999999999998E-2</v>
      </c>
      <c r="N1716" s="1478">
        <v>1.5621745109781779</v>
      </c>
      <c r="O1716" s="1478"/>
    </row>
    <row r="1717" spans="11:15">
      <c r="K1717" s="1475">
        <v>43774</v>
      </c>
      <c r="L1717" s="1476" t="s">
        <v>2127</v>
      </c>
      <c r="M1717" s="1477">
        <v>1.8984999999999998E-2</v>
      </c>
      <c r="N1717" s="1478">
        <v>1.562471089809087</v>
      </c>
      <c r="O1717" s="1478"/>
    </row>
    <row r="1718" spans="11:15">
      <c r="K1718" s="1475">
        <v>43775</v>
      </c>
      <c r="L1718" s="1476" t="s">
        <v>2127</v>
      </c>
      <c r="M1718" s="1477">
        <v>1.8984999999999998E-2</v>
      </c>
      <c r="N1718" s="1478">
        <v>1.5627677249454872</v>
      </c>
      <c r="O1718" s="1478"/>
    </row>
    <row r="1719" spans="11:15">
      <c r="K1719" s="1475">
        <v>43776</v>
      </c>
      <c r="L1719" s="1476" t="s">
        <v>2127</v>
      </c>
      <c r="M1719" s="1477">
        <v>1.8984999999999998E-2</v>
      </c>
      <c r="N1719" s="1478">
        <v>1.563064416398068</v>
      </c>
      <c r="O1719" s="1478"/>
    </row>
    <row r="1720" spans="11:15">
      <c r="K1720" s="1475">
        <v>43777</v>
      </c>
      <c r="L1720" s="1476" t="s">
        <v>2127</v>
      </c>
      <c r="M1720" s="1477">
        <v>1.8984999999999998E-2</v>
      </c>
      <c r="N1720" s="1478">
        <v>1.5633611641775211</v>
      </c>
      <c r="O1720" s="1478"/>
    </row>
    <row r="1721" spans="11:15">
      <c r="K1721" s="1475">
        <v>43778</v>
      </c>
      <c r="L1721" s="1476"/>
      <c r="M1721" s="1477">
        <v>0</v>
      </c>
      <c r="N1721" s="1478">
        <v>1.5633611641775211</v>
      </c>
      <c r="O1721" s="1478"/>
    </row>
    <row r="1722" spans="11:15">
      <c r="K1722" s="1475">
        <v>43779</v>
      </c>
      <c r="L1722" s="1476"/>
      <c r="M1722" s="1477">
        <v>0</v>
      </c>
      <c r="N1722" s="1478">
        <v>1.5633611641775211</v>
      </c>
      <c r="O1722" s="1478"/>
    </row>
    <row r="1723" spans="11:15">
      <c r="K1723" s="1475">
        <v>43780</v>
      </c>
      <c r="L1723" s="1476" t="s">
        <v>2127</v>
      </c>
      <c r="M1723" s="1477">
        <v>1.8984999999999998E-2</v>
      </c>
      <c r="N1723" s="1478">
        <v>1.5636579682945402</v>
      </c>
      <c r="O1723" s="1478"/>
    </row>
    <row r="1724" spans="11:15">
      <c r="K1724" s="1475">
        <v>43781</v>
      </c>
      <c r="L1724" s="1476" t="s">
        <v>2127</v>
      </c>
      <c r="M1724" s="1477">
        <v>1.8984999999999998E-2</v>
      </c>
      <c r="N1724" s="1478">
        <v>1.5639548287598208</v>
      </c>
      <c r="O1724" s="1478"/>
    </row>
    <row r="1725" spans="11:15">
      <c r="K1725" s="1475">
        <v>43782</v>
      </c>
      <c r="L1725" s="1476" t="s">
        <v>2127</v>
      </c>
      <c r="M1725" s="1477">
        <v>1.8984999999999998E-2</v>
      </c>
      <c r="N1725" s="1478">
        <v>1.5642517455840608</v>
      </c>
      <c r="O1725" s="1478"/>
    </row>
    <row r="1726" spans="11:15">
      <c r="K1726" s="1475">
        <v>43783</v>
      </c>
      <c r="L1726" s="1476" t="s">
        <v>2127</v>
      </c>
      <c r="M1726" s="1477">
        <v>1.8984999999999998E-2</v>
      </c>
      <c r="N1726" s="1478">
        <v>1.5645487187779599</v>
      </c>
      <c r="O1726" s="1478"/>
    </row>
    <row r="1727" spans="11:15">
      <c r="K1727" s="1475">
        <v>43784</v>
      </c>
      <c r="L1727" s="1476"/>
      <c r="M1727" s="1477">
        <v>0</v>
      </c>
      <c r="N1727" s="1478">
        <v>1.5645487187779599</v>
      </c>
      <c r="O1727" s="1478"/>
    </row>
    <row r="1728" spans="11:15">
      <c r="K1728" s="1475">
        <v>43785</v>
      </c>
      <c r="L1728" s="1476"/>
      <c r="M1728" s="1477">
        <v>0</v>
      </c>
      <c r="N1728" s="1478">
        <v>1.5645487187779599</v>
      </c>
      <c r="O1728" s="1478"/>
    </row>
    <row r="1729" spans="11:15">
      <c r="K1729" s="1475">
        <v>43786</v>
      </c>
      <c r="L1729" s="1476"/>
      <c r="M1729" s="1477">
        <v>0</v>
      </c>
      <c r="N1729" s="1478">
        <v>1.5645487187779599</v>
      </c>
      <c r="O1729" s="1478"/>
    </row>
    <row r="1730" spans="11:15">
      <c r="K1730" s="1475">
        <v>43787</v>
      </c>
      <c r="L1730" s="1476" t="s">
        <v>2127</v>
      </c>
      <c r="M1730" s="1477">
        <v>1.8984999999999998E-2</v>
      </c>
      <c r="N1730" s="1478">
        <v>1.5648457483522198</v>
      </c>
      <c r="O1730" s="1478"/>
    </row>
    <row r="1731" spans="11:15">
      <c r="K1731" s="1475">
        <v>43788</v>
      </c>
      <c r="L1731" s="1476" t="s">
        <v>2127</v>
      </c>
      <c r="M1731" s="1477">
        <v>1.8984999999999998E-2</v>
      </c>
      <c r="N1731" s="1478">
        <v>1.5651428343175444</v>
      </c>
      <c r="O1731" s="1478"/>
    </row>
    <row r="1732" spans="11:15">
      <c r="K1732" s="1475">
        <v>43789</v>
      </c>
      <c r="L1732" s="1476" t="s">
        <v>2127</v>
      </c>
      <c r="M1732" s="1477">
        <v>1.8984999999999998E-2</v>
      </c>
      <c r="N1732" s="1478">
        <v>1.5654399766846394</v>
      </c>
      <c r="O1732" s="1478"/>
    </row>
    <row r="1733" spans="11:15">
      <c r="K1733" s="1475">
        <v>43790</v>
      </c>
      <c r="L1733" s="1476" t="s">
        <v>2127</v>
      </c>
      <c r="M1733" s="1477">
        <v>1.8984999999999998E-2</v>
      </c>
      <c r="N1733" s="1478">
        <v>1.5657371754642129</v>
      </c>
      <c r="O1733" s="1478"/>
    </row>
    <row r="1734" spans="11:15">
      <c r="K1734" s="1475">
        <v>43791</v>
      </c>
      <c r="L1734" s="1476" t="s">
        <v>2127</v>
      </c>
      <c r="M1734" s="1477">
        <v>1.8984999999999998E-2</v>
      </c>
      <c r="N1734" s="1478">
        <v>1.5660344306669747</v>
      </c>
      <c r="O1734" s="1478"/>
    </row>
    <row r="1735" spans="11:15">
      <c r="K1735" s="1475">
        <v>43792</v>
      </c>
      <c r="L1735" s="1476"/>
      <c r="M1735" s="1477">
        <v>0</v>
      </c>
      <c r="N1735" s="1478">
        <v>1.5660344306669747</v>
      </c>
      <c r="O1735" s="1478"/>
    </row>
    <row r="1736" spans="11:15">
      <c r="K1736" s="1475">
        <v>43793</v>
      </c>
      <c r="L1736" s="1476"/>
      <c r="M1736" s="1477">
        <v>0</v>
      </c>
      <c r="N1736" s="1478">
        <v>1.5660344306669747</v>
      </c>
      <c r="O1736" s="1478"/>
    </row>
    <row r="1737" spans="11:15">
      <c r="K1737" s="1475">
        <v>43794</v>
      </c>
      <c r="L1737" s="1476" t="s">
        <v>2127</v>
      </c>
      <c r="M1737" s="1477">
        <v>1.8984999999999998E-2</v>
      </c>
      <c r="N1737" s="1478">
        <v>1.5663317423036367</v>
      </c>
      <c r="O1737" s="1478"/>
    </row>
    <row r="1738" spans="11:15">
      <c r="K1738" s="1475">
        <v>43795</v>
      </c>
      <c r="L1738" s="1476" t="s">
        <v>2127</v>
      </c>
      <c r="M1738" s="1477">
        <v>1.8984999999999998E-2</v>
      </c>
      <c r="N1738" s="1478">
        <v>1.566629110384913</v>
      </c>
      <c r="O1738" s="1478"/>
    </row>
    <row r="1739" spans="11:15">
      <c r="K1739" s="1475">
        <v>43796</v>
      </c>
      <c r="L1739" s="1476" t="s">
        <v>2127</v>
      </c>
      <c r="M1739" s="1477">
        <v>1.8984999999999998E-2</v>
      </c>
      <c r="N1739" s="1478">
        <v>1.5669265349215196</v>
      </c>
      <c r="O1739" s="1478"/>
    </row>
    <row r="1740" spans="11:15">
      <c r="K1740" s="1475">
        <v>43797</v>
      </c>
      <c r="L1740" s="1476" t="s">
        <v>2127</v>
      </c>
      <c r="M1740" s="1477">
        <v>1.8984999999999998E-2</v>
      </c>
      <c r="N1740" s="1478">
        <v>1.5672240159241744</v>
      </c>
      <c r="O1740" s="1478"/>
    </row>
    <row r="1741" spans="11:15">
      <c r="K1741" s="1475">
        <v>43798</v>
      </c>
      <c r="L1741" s="1476" t="s">
        <v>2127</v>
      </c>
      <c r="M1741" s="1477">
        <v>1.8984999999999998E-2</v>
      </c>
      <c r="N1741" s="1478">
        <v>1.5675215534035976</v>
      </c>
      <c r="O1741" s="1478"/>
    </row>
    <row r="1742" spans="11:15">
      <c r="K1742" s="1475">
        <v>43799</v>
      </c>
      <c r="L1742" s="1476"/>
      <c r="M1742" s="1477">
        <v>0</v>
      </c>
      <c r="N1742" s="1478">
        <v>1.5675215534035976</v>
      </c>
      <c r="O1742" s="1478"/>
    </row>
    <row r="1743" spans="11:15">
      <c r="K1743" s="1475">
        <v>43800</v>
      </c>
      <c r="L1743" s="1476"/>
      <c r="M1743" s="1477">
        <v>0</v>
      </c>
      <c r="N1743" s="1478">
        <v>1.5675215534035976</v>
      </c>
      <c r="O1743" s="1478"/>
    </row>
    <row r="1744" spans="11:15">
      <c r="K1744" s="1475">
        <v>43801</v>
      </c>
      <c r="L1744" s="1476" t="s">
        <v>2127</v>
      </c>
      <c r="M1744" s="1477">
        <v>1.8984999999999998E-2</v>
      </c>
      <c r="N1744" s="1478">
        <v>1.5678191473705112</v>
      </c>
      <c r="O1744" s="1478"/>
    </row>
    <row r="1745" spans="11:15">
      <c r="K1745" s="1475">
        <v>43802</v>
      </c>
      <c r="L1745" s="1476" t="s">
        <v>2127</v>
      </c>
      <c r="M1745" s="1477">
        <v>1.8984999999999998E-2</v>
      </c>
      <c r="N1745" s="1478">
        <v>1.5681167978356394</v>
      </c>
      <c r="O1745" s="1478"/>
    </row>
    <row r="1746" spans="11:15">
      <c r="K1746" s="1475">
        <v>43803</v>
      </c>
      <c r="L1746" s="1476" t="s">
        <v>2127</v>
      </c>
      <c r="M1746" s="1477">
        <v>1.8984999999999998E-2</v>
      </c>
      <c r="N1746" s="1478">
        <v>1.5684145048097085</v>
      </c>
      <c r="O1746" s="1478"/>
    </row>
    <row r="1747" spans="11:15">
      <c r="K1747" s="1475">
        <v>43804</v>
      </c>
      <c r="L1747" s="1476" t="s">
        <v>2127</v>
      </c>
      <c r="M1747" s="1477">
        <v>1.8984999999999998E-2</v>
      </c>
      <c r="N1747" s="1478">
        <v>1.5687122683034465</v>
      </c>
      <c r="O1747" s="1478"/>
    </row>
    <row r="1748" spans="11:15">
      <c r="K1748" s="1475">
        <v>43805</v>
      </c>
      <c r="L1748" s="1476" t="s">
        <v>2127</v>
      </c>
      <c r="M1748" s="1477">
        <v>1.8984999999999998E-2</v>
      </c>
      <c r="N1748" s="1478">
        <v>1.5690100883275837</v>
      </c>
      <c r="O1748" s="1478"/>
    </row>
    <row r="1749" spans="11:15">
      <c r="K1749" s="1475">
        <v>43806</v>
      </c>
      <c r="L1749" s="1476"/>
      <c r="M1749" s="1477">
        <v>0</v>
      </c>
      <c r="N1749" s="1478">
        <v>1.5690100883275837</v>
      </c>
      <c r="O1749" s="1478"/>
    </row>
    <row r="1750" spans="11:15">
      <c r="K1750" s="1475">
        <v>43807</v>
      </c>
      <c r="L1750" s="1476"/>
      <c r="M1750" s="1477">
        <v>0</v>
      </c>
      <c r="N1750" s="1478">
        <v>1.5690100883275837</v>
      </c>
      <c r="O1750" s="1478"/>
    </row>
    <row r="1751" spans="11:15">
      <c r="K1751" s="1475">
        <v>43808</v>
      </c>
      <c r="L1751" s="1476" t="s">
        <v>2127</v>
      </c>
      <c r="M1751" s="1477">
        <v>1.8984999999999998E-2</v>
      </c>
      <c r="N1751" s="1478">
        <v>1.5693079648928525</v>
      </c>
      <c r="O1751" s="1478"/>
    </row>
    <row r="1752" spans="11:15">
      <c r="K1752" s="1475">
        <v>43809</v>
      </c>
      <c r="L1752" s="1476" t="s">
        <v>2127</v>
      </c>
      <c r="M1752" s="1477">
        <v>1.8984999999999998E-2</v>
      </c>
      <c r="N1752" s="1478">
        <v>1.5696058980099874</v>
      </c>
      <c r="O1752" s="1478"/>
    </row>
    <row r="1753" spans="11:15">
      <c r="K1753" s="1475">
        <v>43810</v>
      </c>
      <c r="L1753" s="1476" t="s">
        <v>2127</v>
      </c>
      <c r="M1753" s="1477">
        <v>1.8984999999999998E-2</v>
      </c>
      <c r="N1753" s="1478">
        <v>1.5699038876897244</v>
      </c>
      <c r="O1753" s="1478"/>
    </row>
    <row r="1754" spans="11:15">
      <c r="K1754" s="1475">
        <v>43811</v>
      </c>
      <c r="L1754" s="1476" t="s">
        <v>2127</v>
      </c>
      <c r="M1754" s="1477">
        <v>1.7089E-2</v>
      </c>
      <c r="N1754" s="1478">
        <v>1.5701721685650916</v>
      </c>
      <c r="O1754" s="1478"/>
    </row>
    <row r="1755" spans="11:15">
      <c r="K1755" s="1475">
        <v>43812</v>
      </c>
      <c r="L1755" s="1476" t="s">
        <v>2127</v>
      </c>
      <c r="M1755" s="1477">
        <v>1.7089E-2</v>
      </c>
      <c r="N1755" s="1478">
        <v>1.5704404952869775</v>
      </c>
      <c r="O1755" s="1478"/>
    </row>
    <row r="1756" spans="11:15">
      <c r="K1756" s="1475">
        <v>43813</v>
      </c>
      <c r="L1756" s="1476"/>
      <c r="M1756" s="1477">
        <v>0</v>
      </c>
      <c r="N1756" s="1478">
        <v>1.5704404952869775</v>
      </c>
      <c r="O1756" s="1478"/>
    </row>
    <row r="1757" spans="11:15">
      <c r="K1757" s="1475">
        <v>43814</v>
      </c>
      <c r="L1757" s="1476"/>
      <c r="M1757" s="1477">
        <v>0</v>
      </c>
      <c r="N1757" s="1478">
        <v>1.5704404952869775</v>
      </c>
      <c r="O1757" s="1478"/>
    </row>
    <row r="1758" spans="11:15">
      <c r="K1758" s="1475">
        <v>43815</v>
      </c>
      <c r="L1758" s="1476" t="s">
        <v>2127</v>
      </c>
      <c r="M1758" s="1477">
        <v>1.7089E-2</v>
      </c>
      <c r="N1758" s="1478">
        <v>1.5707088678632171</v>
      </c>
      <c r="O1758" s="1478"/>
    </row>
    <row r="1759" spans="11:15">
      <c r="K1759" s="1475">
        <v>43816</v>
      </c>
      <c r="L1759" s="1476" t="s">
        <v>2127</v>
      </c>
      <c r="M1759" s="1477">
        <v>1.7089E-2</v>
      </c>
      <c r="N1759" s="1478">
        <v>1.570977286301646</v>
      </c>
      <c r="O1759" s="1478"/>
    </row>
    <row r="1760" spans="11:15">
      <c r="K1760" s="1475">
        <v>43817</v>
      </c>
      <c r="L1760" s="1476" t="s">
        <v>2127</v>
      </c>
      <c r="M1760" s="1477">
        <v>1.7089E-2</v>
      </c>
      <c r="N1760" s="1478">
        <v>1.5712457506101021</v>
      </c>
      <c r="O1760" s="1478"/>
    </row>
    <row r="1761" spans="11:15">
      <c r="K1761" s="1475">
        <v>43818</v>
      </c>
      <c r="L1761" s="1476" t="s">
        <v>2127</v>
      </c>
      <c r="M1761" s="1477">
        <v>1.7089E-2</v>
      </c>
      <c r="N1761" s="1478">
        <v>1.5715142607964236</v>
      </c>
      <c r="O1761" s="1478"/>
    </row>
    <row r="1762" spans="11:15">
      <c r="K1762" s="1475">
        <v>43819</v>
      </c>
      <c r="L1762" s="1476" t="s">
        <v>2127</v>
      </c>
      <c r="M1762" s="1477">
        <v>1.7089E-2</v>
      </c>
      <c r="N1762" s="1478">
        <v>1.5717828168684511</v>
      </c>
      <c r="O1762" s="1478"/>
    </row>
    <row r="1763" spans="11:15">
      <c r="K1763" s="1475">
        <v>43820</v>
      </c>
      <c r="L1763" s="1476"/>
      <c r="M1763" s="1477">
        <v>0</v>
      </c>
      <c r="N1763" s="1478">
        <v>1.5717828168684511</v>
      </c>
      <c r="O1763" s="1478"/>
    </row>
    <row r="1764" spans="11:15">
      <c r="K1764" s="1475">
        <v>43821</v>
      </c>
      <c r="L1764" s="1476"/>
      <c r="M1764" s="1477">
        <v>0</v>
      </c>
      <c r="N1764" s="1478">
        <v>1.5717828168684511</v>
      </c>
      <c r="O1764" s="1478"/>
    </row>
    <row r="1765" spans="11:15">
      <c r="K1765" s="1475">
        <v>43822</v>
      </c>
      <c r="L1765" s="1476" t="s">
        <v>2127</v>
      </c>
      <c r="M1765" s="1477">
        <v>1.7089E-2</v>
      </c>
      <c r="N1765" s="1478">
        <v>1.5720514188340255</v>
      </c>
      <c r="O1765" s="1478"/>
    </row>
    <row r="1766" spans="11:15">
      <c r="K1766" s="1475">
        <v>43823</v>
      </c>
      <c r="L1766" s="1476" t="s">
        <v>2127</v>
      </c>
      <c r="M1766" s="1477">
        <v>1.7089E-2</v>
      </c>
      <c r="N1766" s="1478">
        <v>1.57232006670099</v>
      </c>
      <c r="O1766" s="1478"/>
    </row>
    <row r="1767" spans="11:15">
      <c r="K1767" s="1475">
        <v>43824</v>
      </c>
      <c r="L1767" s="1476"/>
      <c r="M1767" s="1477">
        <v>0</v>
      </c>
      <c r="N1767" s="1478">
        <v>1.57232006670099</v>
      </c>
      <c r="O1767" s="1478"/>
    </row>
    <row r="1768" spans="11:15">
      <c r="K1768" s="1475">
        <v>43825</v>
      </c>
      <c r="L1768" s="1476" t="s">
        <v>2127</v>
      </c>
      <c r="M1768" s="1477">
        <v>1.7089E-2</v>
      </c>
      <c r="N1768" s="1478">
        <v>1.5725887604771884</v>
      </c>
      <c r="O1768" s="1478"/>
    </row>
    <row r="1769" spans="11:15">
      <c r="K1769" s="1475">
        <v>43826</v>
      </c>
      <c r="L1769" s="1476" t="s">
        <v>2127</v>
      </c>
      <c r="M1769" s="1477">
        <v>1.7089E-2</v>
      </c>
      <c r="N1769" s="1478">
        <v>1.5728575001704663</v>
      </c>
      <c r="O1769" s="1478"/>
    </row>
    <row r="1770" spans="11:15">
      <c r="K1770" s="1475">
        <v>43827</v>
      </c>
      <c r="L1770" s="1476"/>
      <c r="M1770" s="1477">
        <v>0</v>
      </c>
      <c r="N1770" s="1478">
        <v>1.5728575001704663</v>
      </c>
      <c r="O1770" s="1478"/>
    </row>
    <row r="1771" spans="11:15">
      <c r="K1771" s="1475">
        <v>43828</v>
      </c>
      <c r="L1771" s="1476"/>
      <c r="M1771" s="1477">
        <v>0</v>
      </c>
      <c r="N1771" s="1478">
        <v>1.5728575001704663</v>
      </c>
      <c r="O1771" s="1478"/>
    </row>
    <row r="1772" spans="11:15">
      <c r="K1772" s="1475">
        <v>43829</v>
      </c>
      <c r="L1772" s="1476" t="s">
        <v>2127</v>
      </c>
      <c r="M1772" s="1477">
        <v>1.7089E-2</v>
      </c>
      <c r="N1772" s="1478">
        <v>1.5731262857886703</v>
      </c>
      <c r="O1772" s="1478"/>
    </row>
    <row r="1773" spans="11:15">
      <c r="K1773" s="1475">
        <v>43830</v>
      </c>
      <c r="L1773" s="1476" t="s">
        <v>2127</v>
      </c>
      <c r="M1773" s="1477">
        <v>1.7089E-2</v>
      </c>
      <c r="N1773" s="1478">
        <v>1.5733951173396485</v>
      </c>
      <c r="O1773" s="1478"/>
    </row>
    <row r="1774" spans="11:15">
      <c r="K1774" s="1475">
        <v>43831</v>
      </c>
      <c r="L1774" s="1476"/>
      <c r="M1774" s="1477">
        <v>0</v>
      </c>
      <c r="N1774" s="1478">
        <v>1.5733951173396485</v>
      </c>
      <c r="O1774" s="1478"/>
    </row>
    <row r="1775" spans="11:15">
      <c r="K1775" s="1475">
        <v>43832</v>
      </c>
      <c r="L1775" s="1476" t="s">
        <v>2127</v>
      </c>
      <c r="M1775" s="1477">
        <v>1.7089E-2</v>
      </c>
      <c r="N1775" s="1478">
        <v>1.5736639948312505</v>
      </c>
      <c r="O1775" s="1478"/>
    </row>
    <row r="1776" spans="11:15">
      <c r="K1776" s="1475">
        <v>43833</v>
      </c>
      <c r="L1776" s="1476" t="s">
        <v>2127</v>
      </c>
      <c r="M1776" s="1477">
        <v>1.7089E-2</v>
      </c>
      <c r="N1776" s="1478">
        <v>1.5739329182713271</v>
      </c>
      <c r="O1776" s="1478"/>
    </row>
    <row r="1777" spans="11:15">
      <c r="K1777" s="1475">
        <v>43834</v>
      </c>
      <c r="L1777" s="1476"/>
      <c r="M1777" s="1477">
        <v>0</v>
      </c>
      <c r="N1777" s="1478">
        <v>1.5739329182713271</v>
      </c>
      <c r="O1777" s="1478"/>
    </row>
    <row r="1778" spans="11:15">
      <c r="K1778" s="1475">
        <v>43835</v>
      </c>
      <c r="L1778" s="1476"/>
      <c r="M1778" s="1477">
        <v>0</v>
      </c>
      <c r="N1778" s="1478">
        <v>1.5739329182713271</v>
      </c>
      <c r="O1778" s="1478"/>
    </row>
    <row r="1779" spans="11:15">
      <c r="K1779" s="1475">
        <v>43836</v>
      </c>
      <c r="L1779" s="1476" t="s">
        <v>2127</v>
      </c>
      <c r="M1779" s="1477">
        <v>1.7089E-2</v>
      </c>
      <c r="N1779" s="1478">
        <v>1.5742018876677304</v>
      </c>
      <c r="O1779" s="1478"/>
    </row>
    <row r="1780" spans="11:15">
      <c r="K1780" s="1475">
        <v>43837</v>
      </c>
      <c r="L1780" s="1476" t="s">
        <v>2127</v>
      </c>
      <c r="M1780" s="1477">
        <v>1.7089E-2</v>
      </c>
      <c r="N1780" s="1478">
        <v>1.5744709030283137</v>
      </c>
      <c r="O1780" s="1478"/>
    </row>
    <row r="1781" spans="11:15">
      <c r="K1781" s="1475">
        <v>43838</v>
      </c>
      <c r="L1781" s="1476" t="s">
        <v>2127</v>
      </c>
      <c r="M1781" s="1477">
        <v>1.7089E-2</v>
      </c>
      <c r="N1781" s="1478">
        <v>1.5747399643609321</v>
      </c>
      <c r="O1781" s="1478"/>
    </row>
    <row r="1782" spans="11:15">
      <c r="K1782" s="1475">
        <v>43839</v>
      </c>
      <c r="L1782" s="1476" t="s">
        <v>2127</v>
      </c>
      <c r="M1782" s="1477">
        <v>1.7089E-2</v>
      </c>
      <c r="N1782" s="1478">
        <v>1.5750090716734417</v>
      </c>
      <c r="O1782" s="1478"/>
    </row>
    <row r="1783" spans="11:15">
      <c r="K1783" s="1475">
        <v>43840</v>
      </c>
      <c r="L1783" s="1476" t="s">
        <v>2127</v>
      </c>
      <c r="M1783" s="1477">
        <v>1.7089E-2</v>
      </c>
      <c r="N1783" s="1478">
        <v>1.5752782249736998</v>
      </c>
      <c r="O1783" s="1478"/>
    </row>
    <row r="1784" spans="11:15">
      <c r="K1784" s="1475">
        <v>43841</v>
      </c>
      <c r="L1784" s="1476"/>
      <c r="M1784" s="1477">
        <v>0</v>
      </c>
      <c r="N1784" s="1478">
        <v>1.5752782249736998</v>
      </c>
      <c r="O1784" s="1478"/>
    </row>
    <row r="1785" spans="11:15">
      <c r="K1785" s="1475">
        <v>43842</v>
      </c>
      <c r="L1785" s="1476"/>
      <c r="M1785" s="1477">
        <v>0</v>
      </c>
      <c r="N1785" s="1478">
        <v>1.5752782249736998</v>
      </c>
      <c r="O1785" s="1478"/>
    </row>
    <row r="1786" spans="11:15">
      <c r="K1786" s="1475">
        <v>43843</v>
      </c>
      <c r="L1786" s="1476" t="s">
        <v>2127</v>
      </c>
      <c r="M1786" s="1477">
        <v>1.7089E-2</v>
      </c>
      <c r="N1786" s="1478">
        <v>1.5755474242695655</v>
      </c>
      <c r="O1786" s="1478"/>
    </row>
    <row r="1787" spans="11:15">
      <c r="K1787" s="1475">
        <v>43844</v>
      </c>
      <c r="L1787" s="1476" t="s">
        <v>2127</v>
      </c>
      <c r="M1787" s="1477">
        <v>1.7089E-2</v>
      </c>
      <c r="N1787" s="1478">
        <v>1.5758166695688989</v>
      </c>
      <c r="O1787" s="1478"/>
    </row>
    <row r="1788" spans="11:15">
      <c r="K1788" s="1475">
        <v>43845</v>
      </c>
      <c r="L1788" s="1476" t="s">
        <v>2127</v>
      </c>
      <c r="M1788" s="1477">
        <v>1.7089E-2</v>
      </c>
      <c r="N1788" s="1478">
        <v>1.5760859608795614</v>
      </c>
      <c r="O1788" s="1478"/>
    </row>
    <row r="1789" spans="11:15">
      <c r="K1789" s="1475">
        <v>43846</v>
      </c>
      <c r="L1789" s="1476" t="s">
        <v>2127</v>
      </c>
      <c r="M1789" s="1477">
        <v>1.7089E-2</v>
      </c>
      <c r="N1789" s="1478">
        <v>1.576355298209416</v>
      </c>
      <c r="O1789" s="1478"/>
    </row>
    <row r="1790" spans="11:15">
      <c r="K1790" s="1475">
        <v>43847</v>
      </c>
      <c r="L1790" s="1476" t="s">
        <v>2127</v>
      </c>
      <c r="M1790" s="1477">
        <v>1.7089E-2</v>
      </c>
      <c r="N1790" s="1478">
        <v>1.576624681566327</v>
      </c>
      <c r="O1790" s="1478"/>
    </row>
    <row r="1791" spans="11:15">
      <c r="K1791" s="1475">
        <v>43848</v>
      </c>
      <c r="L1791" s="1476"/>
      <c r="M1791" s="1477">
        <v>0</v>
      </c>
      <c r="N1791" s="1478">
        <v>1.576624681566327</v>
      </c>
      <c r="O1791" s="1478"/>
    </row>
    <row r="1792" spans="11:15">
      <c r="K1792" s="1475">
        <v>43849</v>
      </c>
      <c r="L1792" s="1476"/>
      <c r="M1792" s="1477">
        <v>0</v>
      </c>
      <c r="N1792" s="1478">
        <v>1.576624681566327</v>
      </c>
      <c r="O1792" s="1478"/>
    </row>
    <row r="1793" spans="11:15">
      <c r="K1793" s="1475">
        <v>43850</v>
      </c>
      <c r="L1793" s="1476" t="s">
        <v>2127</v>
      </c>
      <c r="M1793" s="1477">
        <v>1.7089E-2</v>
      </c>
      <c r="N1793" s="1478">
        <v>1.5768941109581598</v>
      </c>
      <c r="O1793" s="1478"/>
    </row>
    <row r="1794" spans="11:15">
      <c r="K1794" s="1475">
        <v>43851</v>
      </c>
      <c r="L1794" s="1476" t="s">
        <v>2127</v>
      </c>
      <c r="M1794" s="1477">
        <v>1.7089E-2</v>
      </c>
      <c r="N1794" s="1478">
        <v>1.5771635863927813</v>
      </c>
      <c r="O1794" s="1478"/>
    </row>
    <row r="1795" spans="11:15">
      <c r="K1795" s="1475">
        <v>43852</v>
      </c>
      <c r="L1795" s="1476" t="s">
        <v>2127</v>
      </c>
      <c r="M1795" s="1477">
        <v>1.7089E-2</v>
      </c>
      <c r="N1795" s="1478">
        <v>1.5774331078780599</v>
      </c>
      <c r="O1795" s="1478"/>
    </row>
    <row r="1796" spans="11:15">
      <c r="K1796" s="1475">
        <v>43853</v>
      </c>
      <c r="L1796" s="1476" t="s">
        <v>2127</v>
      </c>
      <c r="M1796" s="1477">
        <v>1.7089E-2</v>
      </c>
      <c r="N1796" s="1478">
        <v>1.577702675421865</v>
      </c>
      <c r="O1796" s="1478"/>
    </row>
    <row r="1797" spans="11:15">
      <c r="K1797" s="1475">
        <v>43854</v>
      </c>
      <c r="L1797" s="1476" t="s">
        <v>2127</v>
      </c>
      <c r="M1797" s="1477">
        <v>1.7089E-2</v>
      </c>
      <c r="N1797" s="1478">
        <v>1.5779722890320678</v>
      </c>
      <c r="O1797" s="1478"/>
    </row>
    <row r="1798" spans="11:15">
      <c r="K1798" s="1475">
        <v>43855</v>
      </c>
      <c r="L1798" s="1476"/>
      <c r="M1798" s="1477">
        <v>0</v>
      </c>
      <c r="N1798" s="1478">
        <v>1.5779722890320678</v>
      </c>
      <c r="O1798" s="1478"/>
    </row>
    <row r="1799" spans="11:15">
      <c r="K1799" s="1475">
        <v>43856</v>
      </c>
      <c r="L1799" s="1476"/>
      <c r="M1799" s="1477">
        <v>0</v>
      </c>
      <c r="N1799" s="1478">
        <v>1.5779722890320678</v>
      </c>
      <c r="O1799" s="1478"/>
    </row>
    <row r="1800" spans="11:15">
      <c r="K1800" s="1475">
        <v>43857</v>
      </c>
      <c r="L1800" s="1476" t="s">
        <v>2127</v>
      </c>
      <c r="M1800" s="1477">
        <v>1.7089E-2</v>
      </c>
      <c r="N1800" s="1478">
        <v>1.5782419487165404</v>
      </c>
      <c r="O1800" s="1478"/>
    </row>
    <row r="1801" spans="11:15">
      <c r="K1801" s="1475">
        <v>43858</v>
      </c>
      <c r="L1801" s="1476" t="s">
        <v>2127</v>
      </c>
      <c r="M1801" s="1477">
        <v>1.7089E-2</v>
      </c>
      <c r="N1801" s="1478">
        <v>1.5785116544831566</v>
      </c>
      <c r="O1801" s="1478"/>
    </row>
    <row r="1802" spans="11:15">
      <c r="K1802" s="1475">
        <v>43859</v>
      </c>
      <c r="L1802" s="1476" t="s">
        <v>2127</v>
      </c>
      <c r="M1802" s="1477">
        <v>1.7089E-2</v>
      </c>
      <c r="N1802" s="1478">
        <v>1.5787814063397911</v>
      </c>
      <c r="O1802" s="1478"/>
    </row>
    <row r="1803" spans="11:15">
      <c r="K1803" s="1475">
        <v>43860</v>
      </c>
      <c r="L1803" s="1476" t="s">
        <v>2127</v>
      </c>
      <c r="M1803" s="1477">
        <v>1.7089E-2</v>
      </c>
      <c r="N1803" s="1478">
        <v>1.5790512042943203</v>
      </c>
      <c r="O1803" s="1478"/>
    </row>
    <row r="1804" spans="11:15">
      <c r="K1804" s="1475">
        <v>43861</v>
      </c>
      <c r="L1804" s="1476" t="s">
        <v>2127</v>
      </c>
      <c r="M1804" s="1477">
        <v>1.7089E-2</v>
      </c>
      <c r="N1804" s="1478">
        <v>1.5793210483546221</v>
      </c>
      <c r="O1804" s="1478"/>
    </row>
    <row r="1805" spans="11:15">
      <c r="K1805" s="1475">
        <v>43862</v>
      </c>
      <c r="L1805" s="1476"/>
      <c r="M1805" s="1477">
        <v>0</v>
      </c>
      <c r="N1805" s="1478">
        <v>1.5793210483546221</v>
      </c>
      <c r="O1805" s="1478"/>
    </row>
    <row r="1806" spans="11:15">
      <c r="K1806" s="1475">
        <v>43863</v>
      </c>
      <c r="L1806" s="1476"/>
      <c r="M1806" s="1477">
        <v>0</v>
      </c>
      <c r="N1806" s="1478">
        <v>1.5793210483546221</v>
      </c>
      <c r="O1806" s="1478"/>
    </row>
    <row r="1807" spans="11:15">
      <c r="K1807" s="1475">
        <v>43864</v>
      </c>
      <c r="L1807" s="1476" t="s">
        <v>2127</v>
      </c>
      <c r="M1807" s="1477">
        <v>1.7089E-2</v>
      </c>
      <c r="N1807" s="1478">
        <v>1.5795909385285754</v>
      </c>
      <c r="O1807" s="1478"/>
    </row>
    <row r="1808" spans="11:15">
      <c r="K1808" s="1475">
        <v>43865</v>
      </c>
      <c r="L1808" s="1476" t="s">
        <v>2127</v>
      </c>
      <c r="M1808" s="1477">
        <v>1.7089E-2</v>
      </c>
      <c r="N1808" s="1478">
        <v>1.5798608748240603</v>
      </c>
      <c r="O1808" s="1478"/>
    </row>
    <row r="1809" spans="11:15">
      <c r="K1809" s="1475">
        <v>43866</v>
      </c>
      <c r="L1809" s="1476" t="s">
        <v>2127</v>
      </c>
      <c r="M1809" s="1477">
        <v>1.7089E-2</v>
      </c>
      <c r="N1809" s="1478">
        <v>1.580130857248959</v>
      </c>
      <c r="O1809" s="1478"/>
    </row>
    <row r="1810" spans="11:15">
      <c r="K1810" s="1475">
        <v>43867</v>
      </c>
      <c r="L1810" s="1476" t="s">
        <v>2127</v>
      </c>
      <c r="M1810" s="1477">
        <v>1.6136999999999999E-2</v>
      </c>
      <c r="N1810" s="1478">
        <v>1.5803858429653934</v>
      </c>
      <c r="O1810" s="1478"/>
    </row>
    <row r="1811" spans="11:15">
      <c r="K1811" s="1475">
        <v>43868</v>
      </c>
      <c r="L1811" s="1476" t="s">
        <v>2127</v>
      </c>
      <c r="M1811" s="1477">
        <v>1.6136999999999999E-2</v>
      </c>
      <c r="N1811" s="1478">
        <v>1.5806408698288728</v>
      </c>
      <c r="O1811" s="1478"/>
    </row>
    <row r="1812" spans="11:15">
      <c r="K1812" s="1475">
        <v>43869</v>
      </c>
      <c r="L1812" s="1476"/>
      <c r="M1812" s="1477">
        <v>0</v>
      </c>
      <c r="N1812" s="1478">
        <v>1.5806408698288728</v>
      </c>
      <c r="O1812" s="1478"/>
    </row>
    <row r="1813" spans="11:15">
      <c r="K1813" s="1475">
        <v>43870</v>
      </c>
      <c r="L1813" s="1476"/>
      <c r="M1813" s="1477">
        <v>0</v>
      </c>
      <c r="N1813" s="1478">
        <v>1.5806408698288728</v>
      </c>
      <c r="O1813" s="1478"/>
    </row>
    <row r="1814" spans="11:15">
      <c r="K1814" s="1475">
        <v>43871</v>
      </c>
      <c r="L1814" s="1476" t="s">
        <v>2127</v>
      </c>
      <c r="M1814" s="1477">
        <v>1.6136999999999999E-2</v>
      </c>
      <c r="N1814" s="1478">
        <v>1.5808959378460372</v>
      </c>
      <c r="O1814" s="1478"/>
    </row>
    <row r="1815" spans="11:15">
      <c r="K1815" s="1475">
        <v>43872</v>
      </c>
      <c r="L1815" s="1476" t="s">
        <v>2127</v>
      </c>
      <c r="M1815" s="1477">
        <v>1.6136999999999999E-2</v>
      </c>
      <c r="N1815" s="1478">
        <v>1.5811510470235275</v>
      </c>
      <c r="O1815" s="1478"/>
    </row>
    <row r="1816" spans="11:15">
      <c r="K1816" s="1475">
        <v>43873</v>
      </c>
      <c r="L1816" s="1476" t="s">
        <v>2127</v>
      </c>
      <c r="M1816" s="1477">
        <v>1.6136999999999999E-2</v>
      </c>
      <c r="N1816" s="1478">
        <v>1.5814061973679858</v>
      </c>
      <c r="O1816" s="1478"/>
    </row>
    <row r="1817" spans="11:15">
      <c r="K1817" s="1475">
        <v>43874</v>
      </c>
      <c r="L1817" s="1476" t="s">
        <v>2127</v>
      </c>
      <c r="M1817" s="1477">
        <v>1.6136999999999999E-2</v>
      </c>
      <c r="N1817" s="1478">
        <v>1.5816613888860551</v>
      </c>
      <c r="O1817" s="1478"/>
    </row>
    <row r="1818" spans="11:15">
      <c r="K1818" s="1475">
        <v>43875</v>
      </c>
      <c r="L1818" s="1476" t="s">
        <v>2127</v>
      </c>
      <c r="M1818" s="1477">
        <v>1.6136999999999999E-2</v>
      </c>
      <c r="N1818" s="1478">
        <v>1.5819166215843798</v>
      </c>
      <c r="O1818" s="1478"/>
    </row>
    <row r="1819" spans="11:15">
      <c r="K1819" s="1475">
        <v>43876</v>
      </c>
      <c r="L1819" s="1476"/>
      <c r="M1819" s="1477">
        <v>0</v>
      </c>
      <c r="N1819" s="1478">
        <v>1.5819166215843798</v>
      </c>
      <c r="O1819" s="1478"/>
    </row>
    <row r="1820" spans="11:15">
      <c r="K1820" s="1475">
        <v>43877</v>
      </c>
      <c r="L1820" s="1476"/>
      <c r="M1820" s="1477">
        <v>0</v>
      </c>
      <c r="N1820" s="1478">
        <v>1.5819166215843798</v>
      </c>
      <c r="O1820" s="1478"/>
    </row>
    <row r="1821" spans="11:15">
      <c r="K1821" s="1475">
        <v>43878</v>
      </c>
      <c r="L1821" s="1476" t="s">
        <v>2127</v>
      </c>
      <c r="M1821" s="1477">
        <v>1.6136999999999999E-2</v>
      </c>
      <c r="N1821" s="1478">
        <v>1.5821718954696049</v>
      </c>
      <c r="O1821" s="1478"/>
    </row>
    <row r="1822" spans="11:15">
      <c r="K1822" s="1475">
        <v>43879</v>
      </c>
      <c r="L1822" s="1476" t="s">
        <v>2127</v>
      </c>
      <c r="M1822" s="1477">
        <v>1.6136999999999999E-2</v>
      </c>
      <c r="N1822" s="1478">
        <v>1.582427210548377</v>
      </c>
      <c r="O1822" s="1478"/>
    </row>
    <row r="1823" spans="11:15">
      <c r="K1823" s="1475">
        <v>43880</v>
      </c>
      <c r="L1823" s="1476" t="s">
        <v>2127</v>
      </c>
      <c r="M1823" s="1477">
        <v>1.6136999999999999E-2</v>
      </c>
      <c r="N1823" s="1478">
        <v>1.5826825668273432</v>
      </c>
      <c r="O1823" s="1478"/>
    </row>
    <row r="1824" spans="11:15">
      <c r="K1824" s="1475">
        <v>43881</v>
      </c>
      <c r="L1824" s="1476" t="s">
        <v>2127</v>
      </c>
      <c r="M1824" s="1477">
        <v>1.6136999999999999E-2</v>
      </c>
      <c r="N1824" s="1478">
        <v>1.5829379643131523</v>
      </c>
      <c r="O1824" s="1478"/>
    </row>
    <row r="1825" spans="11:15">
      <c r="K1825" s="1475">
        <v>43882</v>
      </c>
      <c r="L1825" s="1476" t="s">
        <v>2127</v>
      </c>
      <c r="M1825" s="1477">
        <v>1.6136999999999999E-2</v>
      </c>
      <c r="N1825" s="1478">
        <v>1.5831934030124535</v>
      </c>
      <c r="O1825" s="1478"/>
    </row>
    <row r="1826" spans="11:15">
      <c r="K1826" s="1475">
        <v>43883</v>
      </c>
      <c r="L1826" s="1476"/>
      <c r="M1826" s="1477">
        <v>0</v>
      </c>
      <c r="N1826" s="1478">
        <v>1.5831934030124535</v>
      </c>
      <c r="O1826" s="1478"/>
    </row>
    <row r="1827" spans="11:15">
      <c r="K1827" s="1475">
        <v>43884</v>
      </c>
      <c r="L1827" s="1476"/>
      <c r="M1827" s="1477">
        <v>0</v>
      </c>
      <c r="N1827" s="1478">
        <v>1.5831934030124535</v>
      </c>
      <c r="O1827" s="1478"/>
    </row>
    <row r="1828" spans="11:15">
      <c r="K1828" s="1475">
        <v>43885</v>
      </c>
      <c r="L1828" s="1476"/>
      <c r="M1828" s="1477">
        <v>0</v>
      </c>
      <c r="N1828" s="1478">
        <v>1.5831934030124535</v>
      </c>
      <c r="O1828" s="1478"/>
    </row>
    <row r="1829" spans="11:15">
      <c r="K1829" s="1475">
        <v>43886</v>
      </c>
      <c r="L1829" s="1476"/>
      <c r="M1829" s="1477">
        <v>0</v>
      </c>
      <c r="N1829" s="1478">
        <v>1.5831934030124535</v>
      </c>
      <c r="O1829" s="1478"/>
    </row>
    <row r="1830" spans="11:15">
      <c r="K1830" s="1475">
        <v>43887</v>
      </c>
      <c r="L1830" s="1476" t="s">
        <v>2127</v>
      </c>
      <c r="M1830" s="1477">
        <v>1.6136999999999999E-2</v>
      </c>
      <c r="N1830" s="1478">
        <v>1.5834488829318978</v>
      </c>
      <c r="O1830" s="1478"/>
    </row>
    <row r="1831" spans="11:15">
      <c r="K1831" s="1475">
        <v>43888</v>
      </c>
      <c r="L1831" s="1476" t="s">
        <v>2127</v>
      </c>
      <c r="M1831" s="1477">
        <v>1.6136999999999999E-2</v>
      </c>
      <c r="N1831" s="1478">
        <v>1.5837044040781365</v>
      </c>
      <c r="O1831" s="1478"/>
    </row>
    <row r="1832" spans="11:15">
      <c r="K1832" s="1475">
        <v>43889</v>
      </c>
      <c r="L1832" s="1476" t="s">
        <v>2127</v>
      </c>
      <c r="M1832" s="1477">
        <v>1.6136999999999999E-2</v>
      </c>
      <c r="N1832" s="1478">
        <v>1.5839599664578228</v>
      </c>
      <c r="O1832" s="1478"/>
    </row>
    <row r="1833" spans="11:15">
      <c r="K1833" s="1475">
        <v>43890</v>
      </c>
      <c r="L1833" s="1476"/>
      <c r="M1833" s="1477">
        <v>0</v>
      </c>
      <c r="N1833" s="1478">
        <v>1.5839599664578228</v>
      </c>
      <c r="O1833" s="1478"/>
    </row>
    <row r="1834" spans="11:15">
      <c r="K1834" s="1475">
        <v>43891</v>
      </c>
      <c r="L1834" s="1476"/>
      <c r="M1834" s="1477">
        <v>0</v>
      </c>
      <c r="N1834" s="1478">
        <v>1.5839599664578228</v>
      </c>
      <c r="O1834" s="1478"/>
    </row>
    <row r="1835" spans="11:15">
      <c r="K1835" s="1475">
        <v>43892</v>
      </c>
      <c r="L1835" s="1476" t="s">
        <v>2127</v>
      </c>
      <c r="M1835" s="1477">
        <v>1.6136999999999999E-2</v>
      </c>
      <c r="N1835" s="1478">
        <v>1.5842155700776102</v>
      </c>
      <c r="O1835" s="1478"/>
    </row>
    <row r="1836" spans="11:15">
      <c r="K1836" s="1475">
        <v>43893</v>
      </c>
      <c r="L1836" s="1476" t="s">
        <v>2127</v>
      </c>
      <c r="M1836" s="1477">
        <v>1.6136999999999999E-2</v>
      </c>
      <c r="N1836" s="1478">
        <v>1.5844712149441535</v>
      </c>
      <c r="O1836" s="1478"/>
    </row>
    <row r="1837" spans="11:15">
      <c r="K1837" s="1475">
        <v>43894</v>
      </c>
      <c r="L1837" s="1476" t="s">
        <v>2127</v>
      </c>
      <c r="M1837" s="1477">
        <v>1.6136999999999999E-2</v>
      </c>
      <c r="N1837" s="1478">
        <v>1.5847269010641092</v>
      </c>
      <c r="O1837" s="1478"/>
    </row>
    <row r="1838" spans="11:15">
      <c r="K1838" s="1475">
        <v>43895</v>
      </c>
      <c r="L1838" s="1476" t="s">
        <v>2127</v>
      </c>
      <c r="M1838" s="1477">
        <v>1.6136999999999999E-2</v>
      </c>
      <c r="N1838" s="1478">
        <v>1.584982628444134</v>
      </c>
      <c r="O1838" s="1478"/>
    </row>
    <row r="1839" spans="11:15">
      <c r="K1839" s="1475">
        <v>43896</v>
      </c>
      <c r="L1839" s="1476" t="s">
        <v>2127</v>
      </c>
      <c r="M1839" s="1477">
        <v>1.6136999999999999E-2</v>
      </c>
      <c r="N1839" s="1478">
        <v>1.5852383970908861</v>
      </c>
      <c r="O1839" s="1478"/>
    </row>
    <row r="1840" spans="11:15">
      <c r="K1840" s="1475">
        <v>43897</v>
      </c>
      <c r="L1840" s="1476"/>
      <c r="M1840" s="1477">
        <v>0</v>
      </c>
      <c r="N1840" s="1478">
        <v>1.5852383970908861</v>
      </c>
      <c r="O1840" s="1478"/>
    </row>
    <row r="1841" spans="11:15">
      <c r="K1841" s="1475">
        <v>43898</v>
      </c>
      <c r="L1841" s="1476"/>
      <c r="M1841" s="1477">
        <v>0</v>
      </c>
      <c r="N1841" s="1478">
        <v>1.5852383970908861</v>
      </c>
      <c r="O1841" s="1478"/>
    </row>
    <row r="1842" spans="11:15">
      <c r="K1842" s="1475">
        <v>43899</v>
      </c>
      <c r="L1842" s="1476" t="s">
        <v>2127</v>
      </c>
      <c r="M1842" s="1477">
        <v>1.6136999999999999E-2</v>
      </c>
      <c r="N1842" s="1478">
        <v>1.5854942070110247</v>
      </c>
      <c r="O1842" s="1478"/>
    </row>
    <row r="1843" spans="11:15">
      <c r="K1843" s="1475">
        <v>43900</v>
      </c>
      <c r="L1843" s="1476" t="s">
        <v>2127</v>
      </c>
      <c r="M1843" s="1477">
        <v>1.6136999999999999E-2</v>
      </c>
      <c r="N1843" s="1478">
        <v>1.5857500582112101</v>
      </c>
      <c r="O1843" s="1478"/>
    </row>
    <row r="1844" spans="11:15">
      <c r="K1844" s="1475">
        <v>43901</v>
      </c>
      <c r="L1844" s="1476" t="s">
        <v>2127</v>
      </c>
      <c r="M1844" s="1477">
        <v>1.6136999999999999E-2</v>
      </c>
      <c r="N1844" s="1478">
        <v>1.5860059506981037</v>
      </c>
      <c r="O1844" s="1478"/>
    </row>
    <row r="1845" spans="11:15">
      <c r="K1845" s="1475">
        <v>43902</v>
      </c>
      <c r="L1845" s="1476" t="s">
        <v>2127</v>
      </c>
      <c r="M1845" s="1477">
        <v>1.6136999999999999E-2</v>
      </c>
      <c r="N1845" s="1478">
        <v>1.586261884478368</v>
      </c>
      <c r="O1845" s="1478"/>
    </row>
    <row r="1846" spans="11:15">
      <c r="K1846" s="1475">
        <v>43903</v>
      </c>
      <c r="L1846" s="1476" t="s">
        <v>2127</v>
      </c>
      <c r="M1846" s="1477">
        <v>1.6136999999999999E-2</v>
      </c>
      <c r="N1846" s="1478">
        <v>1.5865178595586664</v>
      </c>
      <c r="O1846" s="1478"/>
    </row>
    <row r="1847" spans="11:15">
      <c r="K1847" s="1475">
        <v>43904</v>
      </c>
      <c r="L1847" s="1476"/>
      <c r="M1847" s="1477">
        <v>0</v>
      </c>
      <c r="N1847" s="1478">
        <v>1.5865178595586664</v>
      </c>
      <c r="O1847" s="1478"/>
    </row>
    <row r="1848" spans="11:15">
      <c r="K1848" s="1475">
        <v>43905</v>
      </c>
      <c r="L1848" s="1476"/>
      <c r="M1848" s="1477">
        <v>0</v>
      </c>
      <c r="N1848" s="1478">
        <v>1.5865178595586664</v>
      </c>
      <c r="O1848" s="1478"/>
    </row>
    <row r="1849" spans="11:15">
      <c r="K1849" s="1475">
        <v>43906</v>
      </c>
      <c r="L1849" s="1476" t="s">
        <v>2127</v>
      </c>
      <c r="M1849" s="1477">
        <v>1.6136999999999999E-2</v>
      </c>
      <c r="N1849" s="1478">
        <v>1.5867738759456635</v>
      </c>
      <c r="O1849" s="1478"/>
    </row>
    <row r="1850" spans="11:15">
      <c r="K1850" s="1475">
        <v>43907</v>
      </c>
      <c r="L1850" s="1476" t="s">
        <v>2127</v>
      </c>
      <c r="M1850" s="1477">
        <v>1.6136999999999999E-2</v>
      </c>
      <c r="N1850" s="1478">
        <v>1.587029933646025</v>
      </c>
      <c r="O1850" s="1478"/>
    </row>
    <row r="1851" spans="11:15">
      <c r="K1851" s="1475">
        <v>43908</v>
      </c>
      <c r="L1851" s="1476" t="s">
        <v>2127</v>
      </c>
      <c r="M1851" s="1477">
        <v>1.6136999999999999E-2</v>
      </c>
      <c r="N1851" s="1478">
        <v>1.5872860326664175</v>
      </c>
      <c r="O1851" s="1478"/>
    </row>
    <row r="1852" spans="11:15">
      <c r="K1852" s="1475">
        <v>43909</v>
      </c>
      <c r="L1852" s="1476" t="s">
        <v>2127</v>
      </c>
      <c r="M1852" s="1477">
        <v>1.4227E-2</v>
      </c>
      <c r="N1852" s="1478">
        <v>1.587511855850285</v>
      </c>
      <c r="O1852" s="1478"/>
    </row>
    <row r="1853" spans="11:15">
      <c r="K1853" s="1475">
        <v>43910</v>
      </c>
      <c r="L1853" s="1476" t="s">
        <v>2127</v>
      </c>
      <c r="M1853" s="1477">
        <v>1.4227E-2</v>
      </c>
      <c r="N1853" s="1478">
        <v>1.5877377111620168</v>
      </c>
      <c r="O1853" s="1478"/>
    </row>
    <row r="1854" spans="11:15">
      <c r="K1854" s="1475">
        <v>43911</v>
      </c>
      <c r="L1854" s="1476"/>
      <c r="M1854" s="1477">
        <v>0</v>
      </c>
      <c r="N1854" s="1478">
        <v>1.5877377111620168</v>
      </c>
      <c r="O1854" s="1478"/>
    </row>
    <row r="1855" spans="11:15">
      <c r="K1855" s="1475">
        <v>43912</v>
      </c>
      <c r="L1855" s="1476"/>
      <c r="M1855" s="1477">
        <v>0</v>
      </c>
      <c r="N1855" s="1478">
        <v>1.5877377111620168</v>
      </c>
      <c r="O1855" s="1478"/>
    </row>
    <row r="1856" spans="11:15">
      <c r="K1856" s="1475">
        <v>43913</v>
      </c>
      <c r="L1856" s="1476" t="s">
        <v>2127</v>
      </c>
      <c r="M1856" s="1477">
        <v>1.4227E-2</v>
      </c>
      <c r="N1856" s="1478">
        <v>1.5879635986061837</v>
      </c>
      <c r="O1856" s="1478"/>
    </row>
    <row r="1857" spans="11:15">
      <c r="K1857" s="1475">
        <v>43914</v>
      </c>
      <c r="L1857" s="1476" t="s">
        <v>2127</v>
      </c>
      <c r="M1857" s="1477">
        <v>1.4227E-2</v>
      </c>
      <c r="N1857" s="1478">
        <v>1.5881895181873575</v>
      </c>
      <c r="O1857" s="1478"/>
    </row>
    <row r="1858" spans="11:15">
      <c r="K1858" s="1475">
        <v>43915</v>
      </c>
      <c r="L1858" s="1476" t="s">
        <v>2127</v>
      </c>
      <c r="M1858" s="1477">
        <v>1.4227E-2</v>
      </c>
      <c r="N1858" s="1478">
        <v>1.5884154699101101</v>
      </c>
      <c r="O1858" s="1478"/>
    </row>
    <row r="1859" spans="11:15">
      <c r="K1859" s="1475">
        <v>43916</v>
      </c>
      <c r="L1859" s="1476" t="s">
        <v>2127</v>
      </c>
      <c r="M1859" s="1477">
        <v>1.4227E-2</v>
      </c>
      <c r="N1859" s="1478">
        <v>1.5886414537790141</v>
      </c>
      <c r="O1859" s="1478"/>
    </row>
    <row r="1860" spans="11:15">
      <c r="K1860" s="1475">
        <v>43917</v>
      </c>
      <c r="L1860" s="1476" t="s">
        <v>2127</v>
      </c>
      <c r="M1860" s="1477">
        <v>1.4227E-2</v>
      </c>
      <c r="N1860" s="1478">
        <v>1.5888674697986434</v>
      </c>
      <c r="O1860" s="1478"/>
    </row>
    <row r="1861" spans="11:15">
      <c r="K1861" s="1475">
        <v>43918</v>
      </c>
      <c r="L1861" s="1476"/>
      <c r="M1861" s="1477">
        <v>0</v>
      </c>
      <c r="N1861" s="1478">
        <v>1.5888674697986434</v>
      </c>
      <c r="O1861" s="1478"/>
    </row>
    <row r="1862" spans="11:15">
      <c r="K1862" s="1475">
        <v>43919</v>
      </c>
      <c r="L1862" s="1476"/>
      <c r="M1862" s="1477">
        <v>0</v>
      </c>
      <c r="N1862" s="1478">
        <v>1.5888674697986434</v>
      </c>
      <c r="O1862" s="1478"/>
    </row>
    <row r="1863" spans="11:15">
      <c r="K1863" s="1475">
        <v>43920</v>
      </c>
      <c r="L1863" s="1476" t="s">
        <v>2127</v>
      </c>
      <c r="M1863" s="1477">
        <v>1.4227E-2</v>
      </c>
      <c r="N1863" s="1478">
        <v>1.5890935179735717</v>
      </c>
      <c r="O1863" s="1478"/>
    </row>
    <row r="1864" spans="11:15">
      <c r="K1864" s="1475">
        <v>43921</v>
      </c>
      <c r="L1864" s="1476" t="s">
        <v>2127</v>
      </c>
      <c r="M1864" s="1477">
        <v>1.4227E-2</v>
      </c>
      <c r="N1864" s="1478">
        <v>1.5893195983083739</v>
      </c>
      <c r="O1864" s="1478"/>
    </row>
    <row r="1865" spans="11:15">
      <c r="K1865" s="1475">
        <v>43922</v>
      </c>
      <c r="L1865" s="1476" t="s">
        <v>2127</v>
      </c>
      <c r="M1865" s="1477">
        <v>1.4227E-2</v>
      </c>
      <c r="N1865" s="1478">
        <v>1.5895457108076252</v>
      </c>
      <c r="O1865" s="1478"/>
    </row>
    <row r="1866" spans="11:15">
      <c r="K1866" s="1475">
        <v>43923</v>
      </c>
      <c r="L1866" s="1476" t="s">
        <v>2127</v>
      </c>
      <c r="M1866" s="1477">
        <v>1.4227E-2</v>
      </c>
      <c r="N1866" s="1478">
        <v>1.5897718554759017</v>
      </c>
      <c r="O1866" s="1478"/>
    </row>
    <row r="1867" spans="11:15">
      <c r="K1867" s="1475">
        <v>43924</v>
      </c>
      <c r="L1867" s="1476" t="s">
        <v>2127</v>
      </c>
      <c r="M1867" s="1477">
        <v>1.4227E-2</v>
      </c>
      <c r="N1867" s="1478">
        <v>1.5899980323177803</v>
      </c>
      <c r="O1867" s="1478"/>
    </row>
    <row r="1868" spans="11:15">
      <c r="K1868" s="1475">
        <v>43925</v>
      </c>
      <c r="L1868" s="1476"/>
      <c r="M1868" s="1477">
        <v>0</v>
      </c>
      <c r="N1868" s="1478">
        <v>1.5899980323177803</v>
      </c>
      <c r="O1868" s="1478"/>
    </row>
    <row r="1869" spans="11:15">
      <c r="K1869" s="1475">
        <v>43926</v>
      </c>
      <c r="L1869" s="1476"/>
      <c r="M1869" s="1477">
        <v>0</v>
      </c>
      <c r="N1869" s="1478">
        <v>1.5899980323177803</v>
      </c>
      <c r="O1869" s="1478"/>
    </row>
    <row r="1870" spans="11:15">
      <c r="K1870" s="1475">
        <v>43927</v>
      </c>
      <c r="L1870" s="1476" t="s">
        <v>2127</v>
      </c>
      <c r="M1870" s="1477">
        <v>1.4227E-2</v>
      </c>
      <c r="N1870" s="1478">
        <v>1.590224241337838</v>
      </c>
      <c r="O1870" s="1478"/>
    </row>
    <row r="1871" spans="11:15">
      <c r="K1871" s="1475">
        <v>43928</v>
      </c>
      <c r="L1871" s="1476" t="s">
        <v>2127</v>
      </c>
      <c r="M1871" s="1477">
        <v>1.4227E-2</v>
      </c>
      <c r="N1871" s="1478">
        <v>1.5904504825406531</v>
      </c>
      <c r="O1871" s="1478"/>
    </row>
    <row r="1872" spans="11:15">
      <c r="K1872" s="1475">
        <v>43929</v>
      </c>
      <c r="L1872" s="1476" t="s">
        <v>2127</v>
      </c>
      <c r="M1872" s="1477">
        <v>1.4227E-2</v>
      </c>
      <c r="N1872" s="1478">
        <v>1.5906767559308042</v>
      </c>
      <c r="O1872" s="1478"/>
    </row>
    <row r="1873" spans="11:15">
      <c r="K1873" s="1475">
        <v>43930</v>
      </c>
      <c r="L1873" s="1476" t="s">
        <v>2127</v>
      </c>
      <c r="M1873" s="1477">
        <v>1.4227E-2</v>
      </c>
      <c r="N1873" s="1478">
        <v>1.5909030615128705</v>
      </c>
      <c r="O1873" s="1478"/>
    </row>
    <row r="1874" spans="11:15">
      <c r="K1874" s="1475">
        <v>43931</v>
      </c>
      <c r="L1874" s="1476"/>
      <c r="M1874" s="1477">
        <v>0</v>
      </c>
      <c r="N1874" s="1478">
        <v>1.5909030615128705</v>
      </c>
      <c r="O1874" s="1478"/>
    </row>
    <row r="1875" spans="11:15">
      <c r="K1875" s="1475">
        <v>43932</v>
      </c>
      <c r="L1875" s="1476"/>
      <c r="M1875" s="1477">
        <v>0</v>
      </c>
      <c r="N1875" s="1478">
        <v>1.5909030615128705</v>
      </c>
      <c r="O1875" s="1478"/>
    </row>
    <row r="1876" spans="11:15">
      <c r="K1876" s="1475">
        <v>43933</v>
      </c>
      <c r="L1876" s="1476"/>
      <c r="M1876" s="1477">
        <v>0</v>
      </c>
      <c r="N1876" s="1478">
        <v>1.5909030615128705</v>
      </c>
      <c r="O1876" s="1478"/>
    </row>
    <row r="1877" spans="11:15">
      <c r="K1877" s="1475">
        <v>43934</v>
      </c>
      <c r="L1877" s="1476" t="s">
        <v>2127</v>
      </c>
      <c r="M1877" s="1477">
        <v>1.4227E-2</v>
      </c>
      <c r="N1877" s="1478">
        <v>1.5911293992914319</v>
      </c>
      <c r="O1877" s="1478"/>
    </row>
    <row r="1878" spans="11:15">
      <c r="K1878" s="1475">
        <v>43935</v>
      </c>
      <c r="L1878" s="1476" t="s">
        <v>2127</v>
      </c>
      <c r="M1878" s="1477">
        <v>1.4227E-2</v>
      </c>
      <c r="N1878" s="1478">
        <v>1.5913557692710691</v>
      </c>
      <c r="O1878" s="1478"/>
    </row>
    <row r="1879" spans="11:15">
      <c r="K1879" s="1475">
        <v>43936</v>
      </c>
      <c r="L1879" s="1476" t="s">
        <v>2127</v>
      </c>
      <c r="M1879" s="1477">
        <v>1.4227E-2</v>
      </c>
      <c r="N1879" s="1478">
        <v>1.5915821714563634</v>
      </c>
      <c r="O1879" s="1478"/>
    </row>
    <row r="1880" spans="11:15">
      <c r="K1880" s="1475">
        <v>43937</v>
      </c>
      <c r="L1880" s="1476" t="s">
        <v>2127</v>
      </c>
      <c r="M1880" s="1477">
        <v>1.4227E-2</v>
      </c>
      <c r="N1880" s="1478">
        <v>1.5918086058518965</v>
      </c>
      <c r="O1880" s="1478"/>
    </row>
    <row r="1881" spans="11:15">
      <c r="K1881" s="1475">
        <v>43938</v>
      </c>
      <c r="L1881" s="1476" t="s">
        <v>2127</v>
      </c>
      <c r="M1881" s="1477">
        <v>1.4227E-2</v>
      </c>
      <c r="N1881" s="1478">
        <v>1.5920350724622512</v>
      </c>
      <c r="O1881" s="1478"/>
    </row>
    <row r="1882" spans="11:15">
      <c r="K1882" s="1475">
        <v>43939</v>
      </c>
      <c r="L1882" s="1476"/>
      <c r="M1882" s="1477">
        <v>0</v>
      </c>
      <c r="N1882" s="1478">
        <v>1.5920350724622512</v>
      </c>
      <c r="O1882" s="1478"/>
    </row>
    <row r="1883" spans="11:15">
      <c r="K1883" s="1475">
        <v>43940</v>
      </c>
      <c r="L1883" s="1476"/>
      <c r="M1883" s="1477">
        <v>0</v>
      </c>
      <c r="N1883" s="1478">
        <v>1.5920350724622512</v>
      </c>
      <c r="O1883" s="1478"/>
    </row>
    <row r="1884" spans="11:15">
      <c r="K1884" s="1475">
        <v>43941</v>
      </c>
      <c r="L1884" s="1476" t="s">
        <v>2127</v>
      </c>
      <c r="M1884" s="1477">
        <v>1.4227E-2</v>
      </c>
      <c r="N1884" s="1478">
        <v>1.5922615712920103</v>
      </c>
      <c r="O1884" s="1478"/>
    </row>
    <row r="1885" spans="11:15">
      <c r="K1885" s="1475">
        <v>43942</v>
      </c>
      <c r="L1885" s="1476"/>
      <c r="M1885" s="1477">
        <v>0</v>
      </c>
      <c r="N1885" s="1478">
        <v>1.5922615712920103</v>
      </c>
      <c r="O1885" s="1478"/>
    </row>
    <row r="1886" spans="11:15">
      <c r="K1886" s="1475">
        <v>43943</v>
      </c>
      <c r="L1886" s="1476" t="s">
        <v>2127</v>
      </c>
      <c r="M1886" s="1477">
        <v>1.4227E-2</v>
      </c>
      <c r="N1886" s="1478">
        <v>1.592488102345758</v>
      </c>
      <c r="O1886" s="1478"/>
    </row>
    <row r="1887" spans="11:15">
      <c r="K1887" s="1475">
        <v>43944</v>
      </c>
      <c r="L1887" s="1476" t="s">
        <v>2127</v>
      </c>
      <c r="M1887" s="1477">
        <v>1.4227E-2</v>
      </c>
      <c r="N1887" s="1478">
        <v>1.5927146656280786</v>
      </c>
      <c r="O1887" s="1478"/>
    </row>
    <row r="1888" spans="11:15">
      <c r="K1888" s="1475">
        <v>43945</v>
      </c>
      <c r="L1888" s="1476" t="s">
        <v>2127</v>
      </c>
      <c r="M1888" s="1477">
        <v>1.4227E-2</v>
      </c>
      <c r="N1888" s="1478">
        <v>1.5929412611435576</v>
      </c>
      <c r="O1888" s="1478"/>
    </row>
    <row r="1889" spans="11:15">
      <c r="K1889" s="1475">
        <v>43946</v>
      </c>
      <c r="L1889" s="1476"/>
      <c r="M1889" s="1477">
        <v>0</v>
      </c>
      <c r="N1889" s="1478">
        <v>1.5929412611435576</v>
      </c>
      <c r="O1889" s="1478"/>
    </row>
    <row r="1890" spans="11:15">
      <c r="K1890" s="1475">
        <v>43947</v>
      </c>
      <c r="L1890" s="1476"/>
      <c r="M1890" s="1477">
        <v>0</v>
      </c>
      <c r="N1890" s="1478">
        <v>1.5929412611435576</v>
      </c>
      <c r="O1890" s="1478"/>
    </row>
    <row r="1891" spans="11:15">
      <c r="K1891" s="1475">
        <v>43948</v>
      </c>
      <c r="L1891" s="1476" t="s">
        <v>2127</v>
      </c>
      <c r="M1891" s="1477">
        <v>1.4227E-2</v>
      </c>
      <c r="N1891" s="1478">
        <v>1.5931678888967804</v>
      </c>
      <c r="O1891" s="1478"/>
    </row>
    <row r="1892" spans="11:15">
      <c r="K1892" s="1475">
        <v>43949</v>
      </c>
      <c r="L1892" s="1476" t="s">
        <v>2127</v>
      </c>
      <c r="M1892" s="1477">
        <v>1.4227E-2</v>
      </c>
      <c r="N1892" s="1478">
        <v>1.5933945488923338</v>
      </c>
      <c r="O1892" s="1478"/>
    </row>
    <row r="1893" spans="11:15">
      <c r="K1893" s="1475">
        <v>43950</v>
      </c>
      <c r="L1893" s="1476" t="s">
        <v>2127</v>
      </c>
      <c r="M1893" s="1477">
        <v>1.4227E-2</v>
      </c>
      <c r="N1893" s="1478">
        <v>1.5936212411348047</v>
      </c>
      <c r="O1893" s="1478"/>
    </row>
    <row r="1894" spans="11:15">
      <c r="K1894" s="1475">
        <v>43951</v>
      </c>
      <c r="L1894" s="1476" t="s">
        <v>2127</v>
      </c>
      <c r="M1894" s="1477">
        <v>1.4227E-2</v>
      </c>
      <c r="N1894" s="1478">
        <v>1.5938479656287809</v>
      </c>
      <c r="O1894" s="1478"/>
    </row>
    <row r="1895" spans="11:15">
      <c r="K1895" s="1475">
        <v>43952</v>
      </c>
      <c r="L1895" s="1476"/>
      <c r="M1895" s="1477">
        <v>0</v>
      </c>
      <c r="N1895" s="1478">
        <v>1.5938479656287809</v>
      </c>
      <c r="O1895" s="1478"/>
    </row>
    <row r="1896" spans="11:15">
      <c r="K1896" s="1475">
        <v>43953</v>
      </c>
      <c r="L1896" s="1476"/>
      <c r="M1896" s="1477">
        <v>0</v>
      </c>
      <c r="N1896" s="1478">
        <v>1.5938479656287809</v>
      </c>
      <c r="O1896" s="1478"/>
    </row>
    <row r="1897" spans="11:15">
      <c r="K1897" s="1475">
        <v>43954</v>
      </c>
      <c r="L1897" s="1476"/>
      <c r="M1897" s="1477">
        <v>0</v>
      </c>
      <c r="N1897" s="1478">
        <v>1.5938479656287809</v>
      </c>
      <c r="O1897" s="1478"/>
    </row>
    <row r="1898" spans="11:15">
      <c r="K1898" s="1475">
        <v>43955</v>
      </c>
      <c r="L1898" s="1476" t="s">
        <v>2127</v>
      </c>
      <c r="M1898" s="1477">
        <v>1.4227E-2</v>
      </c>
      <c r="N1898" s="1478">
        <v>1.594074722378851</v>
      </c>
      <c r="O1898" s="1478"/>
    </row>
    <row r="1899" spans="11:15">
      <c r="K1899" s="1475">
        <v>43956</v>
      </c>
      <c r="L1899" s="1476" t="s">
        <v>2127</v>
      </c>
      <c r="M1899" s="1477">
        <v>1.4227E-2</v>
      </c>
      <c r="N1899" s="1478">
        <v>1.5943015113896037</v>
      </c>
      <c r="O1899" s="1478"/>
    </row>
    <row r="1900" spans="11:15">
      <c r="K1900" s="1475">
        <v>43957</v>
      </c>
      <c r="L1900" s="1476" t="s">
        <v>2127</v>
      </c>
      <c r="M1900" s="1477">
        <v>1.4227E-2</v>
      </c>
      <c r="N1900" s="1478">
        <v>1.5945283326656292</v>
      </c>
      <c r="O1900" s="1478"/>
    </row>
    <row r="1901" spans="11:15">
      <c r="K1901" s="1475">
        <v>43958</v>
      </c>
      <c r="L1901" s="1476" t="s">
        <v>2127</v>
      </c>
      <c r="M1901" s="1477">
        <v>1.1344999999999999E-2</v>
      </c>
      <c r="N1901" s="1478">
        <v>1.59470923190497</v>
      </c>
      <c r="O1901" s="1478"/>
    </row>
    <row r="1902" spans="11:15">
      <c r="K1902" s="1475">
        <v>43959</v>
      </c>
      <c r="L1902" s="1476" t="s">
        <v>2127</v>
      </c>
      <c r="M1902" s="1477">
        <v>1.1344999999999999E-2</v>
      </c>
      <c r="N1902" s="1478">
        <v>1.5948901516673295</v>
      </c>
      <c r="O1902" s="1478"/>
    </row>
    <row r="1903" spans="11:15">
      <c r="K1903" s="1475">
        <v>43960</v>
      </c>
      <c r="L1903" s="1476"/>
      <c r="M1903" s="1477">
        <v>0</v>
      </c>
      <c r="N1903" s="1478">
        <v>1.5948901516673295</v>
      </c>
      <c r="O1903" s="1478"/>
    </row>
    <row r="1904" spans="11:15">
      <c r="K1904" s="1475">
        <v>43961</v>
      </c>
      <c r="L1904" s="1476"/>
      <c r="M1904" s="1477">
        <v>0</v>
      </c>
      <c r="N1904" s="1478">
        <v>1.5948901516673295</v>
      </c>
      <c r="O1904" s="1478"/>
    </row>
    <row r="1905" spans="11:15">
      <c r="K1905" s="1475">
        <v>43962</v>
      </c>
      <c r="L1905" s="1476" t="s">
        <v>2127</v>
      </c>
      <c r="M1905" s="1477">
        <v>1.1344999999999999E-2</v>
      </c>
      <c r="N1905" s="1478">
        <v>1.5950710919550362</v>
      </c>
      <c r="O1905" s="1478"/>
    </row>
    <row r="1906" spans="11:15">
      <c r="K1906" s="1475">
        <v>43963</v>
      </c>
      <c r="L1906" s="1476" t="s">
        <v>2127</v>
      </c>
      <c r="M1906" s="1477">
        <v>1.1344999999999999E-2</v>
      </c>
      <c r="N1906" s="1478">
        <v>1.5952520527704184</v>
      </c>
      <c r="O1906" s="1478"/>
    </row>
    <row r="1907" spans="11:15">
      <c r="K1907" s="1475">
        <v>43964</v>
      </c>
      <c r="L1907" s="1476" t="s">
        <v>2127</v>
      </c>
      <c r="M1907" s="1477">
        <v>1.1344999999999999E-2</v>
      </c>
      <c r="N1907" s="1478">
        <v>1.5954330341158052</v>
      </c>
      <c r="O1907" s="1478"/>
    </row>
    <row r="1908" spans="11:15">
      <c r="K1908" s="1475">
        <v>43965</v>
      </c>
      <c r="L1908" s="1476" t="s">
        <v>2127</v>
      </c>
      <c r="M1908" s="1477">
        <v>1.1344999999999999E-2</v>
      </c>
      <c r="N1908" s="1478">
        <v>1.5956140359935256</v>
      </c>
      <c r="O1908" s="1478"/>
    </row>
    <row r="1909" spans="11:15">
      <c r="K1909" s="1475">
        <v>43966</v>
      </c>
      <c r="L1909" s="1476" t="s">
        <v>2127</v>
      </c>
      <c r="M1909" s="1477">
        <v>1.1344999999999999E-2</v>
      </c>
      <c r="N1909" s="1478">
        <v>1.5957950584059091</v>
      </c>
      <c r="O1909" s="1478"/>
    </row>
    <row r="1910" spans="11:15">
      <c r="K1910" s="1475">
        <v>43967</v>
      </c>
      <c r="L1910" s="1476"/>
      <c r="M1910" s="1477">
        <v>0</v>
      </c>
      <c r="N1910" s="1478">
        <v>1.5957950584059091</v>
      </c>
      <c r="O1910" s="1478"/>
    </row>
    <row r="1911" spans="11:15">
      <c r="K1911" s="1475">
        <v>43968</v>
      </c>
      <c r="L1911" s="1476"/>
      <c r="M1911" s="1477">
        <v>0</v>
      </c>
      <c r="N1911" s="1478">
        <v>1.5957950584059091</v>
      </c>
      <c r="O1911" s="1478"/>
    </row>
    <row r="1912" spans="11:15">
      <c r="K1912" s="1475">
        <v>43969</v>
      </c>
      <c r="L1912" s="1476" t="s">
        <v>2127</v>
      </c>
      <c r="M1912" s="1477">
        <v>1.1344999999999999E-2</v>
      </c>
      <c r="N1912" s="1478">
        <v>1.5959761013552851</v>
      </c>
      <c r="O1912" s="1478"/>
    </row>
    <row r="1913" spans="11:15">
      <c r="K1913" s="1475">
        <v>43970</v>
      </c>
      <c r="L1913" s="1476" t="s">
        <v>2127</v>
      </c>
      <c r="M1913" s="1477">
        <v>1.1344999999999999E-2</v>
      </c>
      <c r="N1913" s="1478">
        <v>1.5961571648439838</v>
      </c>
      <c r="O1913" s="1478"/>
    </row>
    <row r="1914" spans="11:15">
      <c r="K1914" s="1475">
        <v>43971</v>
      </c>
      <c r="L1914" s="1476" t="s">
        <v>2127</v>
      </c>
      <c r="M1914" s="1477">
        <v>1.1344999999999999E-2</v>
      </c>
      <c r="N1914" s="1478">
        <v>1.5963382488743354</v>
      </c>
      <c r="O1914" s="1478"/>
    </row>
    <row r="1915" spans="11:15">
      <c r="K1915" s="1475">
        <v>43972</v>
      </c>
      <c r="L1915" s="1476" t="s">
        <v>2127</v>
      </c>
      <c r="M1915" s="1477">
        <v>1.1344999999999999E-2</v>
      </c>
      <c r="N1915" s="1478">
        <v>1.5965193534486701</v>
      </c>
      <c r="O1915" s="1478"/>
    </row>
    <row r="1916" spans="11:15">
      <c r="K1916" s="1475">
        <v>43973</v>
      </c>
      <c r="L1916" s="1476" t="s">
        <v>2127</v>
      </c>
      <c r="M1916" s="1477">
        <v>1.1344999999999999E-2</v>
      </c>
      <c r="N1916" s="1478">
        <v>1.5967004785693188</v>
      </c>
      <c r="O1916" s="1478"/>
    </row>
    <row r="1917" spans="11:15">
      <c r="K1917" s="1475">
        <v>43974</v>
      </c>
      <c r="L1917" s="1476"/>
      <c r="M1917" s="1477">
        <v>0</v>
      </c>
      <c r="N1917" s="1478">
        <v>1.5967004785693188</v>
      </c>
      <c r="O1917" s="1478"/>
    </row>
    <row r="1918" spans="11:15">
      <c r="K1918" s="1475">
        <v>43975</v>
      </c>
      <c r="L1918" s="1476"/>
      <c r="M1918" s="1477">
        <v>0</v>
      </c>
      <c r="N1918" s="1478">
        <v>1.5967004785693188</v>
      </c>
      <c r="O1918" s="1478"/>
    </row>
    <row r="1919" spans="11:15">
      <c r="K1919" s="1475">
        <v>43976</v>
      </c>
      <c r="L1919" s="1476" t="s">
        <v>2127</v>
      </c>
      <c r="M1919" s="1477">
        <v>1.1344999999999999E-2</v>
      </c>
      <c r="N1919" s="1478">
        <v>1.5968816242386126</v>
      </c>
      <c r="O1919" s="1478"/>
    </row>
    <row r="1920" spans="11:15">
      <c r="K1920" s="1475">
        <v>43977</v>
      </c>
      <c r="L1920" s="1476" t="s">
        <v>2127</v>
      </c>
      <c r="M1920" s="1477">
        <v>1.1344999999999999E-2</v>
      </c>
      <c r="N1920" s="1478">
        <v>1.5970627904588823</v>
      </c>
      <c r="O1920" s="1478"/>
    </row>
    <row r="1921" spans="11:15">
      <c r="K1921" s="1475">
        <v>43978</v>
      </c>
      <c r="L1921" s="1476" t="s">
        <v>2127</v>
      </c>
      <c r="M1921" s="1477">
        <v>1.1344999999999999E-2</v>
      </c>
      <c r="N1921" s="1478">
        <v>1.5972439772324598</v>
      </c>
      <c r="O1921" s="1478"/>
    </row>
    <row r="1922" spans="11:15">
      <c r="K1922" s="1475">
        <v>43979</v>
      </c>
      <c r="L1922" s="1476" t="s">
        <v>2127</v>
      </c>
      <c r="M1922" s="1477">
        <v>1.1344999999999999E-2</v>
      </c>
      <c r="N1922" s="1478">
        <v>1.5974251845616767</v>
      </c>
      <c r="O1922" s="1478"/>
    </row>
    <row r="1923" spans="11:15">
      <c r="K1923" s="1475">
        <v>43980</v>
      </c>
      <c r="L1923" s="1476" t="s">
        <v>2127</v>
      </c>
      <c r="M1923" s="1477">
        <v>1.1344999999999999E-2</v>
      </c>
      <c r="N1923" s="1478">
        <v>1.5976064124488651</v>
      </c>
      <c r="O1923" s="1478"/>
    </row>
    <row r="1924" spans="11:15">
      <c r="K1924" s="1475">
        <v>43981</v>
      </c>
      <c r="L1924" s="1476"/>
      <c r="M1924" s="1477">
        <v>0</v>
      </c>
      <c r="N1924" s="1478">
        <v>1.5976064124488651</v>
      </c>
      <c r="O1924" s="1478"/>
    </row>
    <row r="1925" spans="11:15">
      <c r="K1925" s="1475">
        <v>43982</v>
      </c>
      <c r="L1925" s="1476"/>
      <c r="M1925" s="1477">
        <v>0</v>
      </c>
      <c r="N1925" s="1478">
        <v>1.5976064124488651</v>
      </c>
      <c r="O1925" s="1478"/>
    </row>
    <row r="1926" spans="11:15">
      <c r="K1926" s="1475">
        <v>43983</v>
      </c>
      <c r="L1926" s="1476" t="s">
        <v>2127</v>
      </c>
      <c r="M1926" s="1477">
        <v>1.1344999999999999E-2</v>
      </c>
      <c r="N1926" s="1478">
        <v>1.5977876608963575</v>
      </c>
      <c r="O1926" s="1478"/>
    </row>
    <row r="1927" spans="11:15">
      <c r="K1927" s="1475">
        <v>43984</v>
      </c>
      <c r="L1927" s="1476" t="s">
        <v>2127</v>
      </c>
      <c r="M1927" s="1477">
        <v>1.1344999999999999E-2</v>
      </c>
      <c r="N1927" s="1478">
        <v>1.5979689299064861</v>
      </c>
      <c r="O1927" s="1478"/>
    </row>
    <row r="1928" spans="11:15">
      <c r="K1928" s="1475">
        <v>43985</v>
      </c>
      <c r="L1928" s="1476" t="s">
        <v>2127</v>
      </c>
      <c r="M1928" s="1477">
        <v>1.1344999999999999E-2</v>
      </c>
      <c r="N1928" s="1478">
        <v>1.598150219481584</v>
      </c>
      <c r="O1928" s="1478"/>
    </row>
    <row r="1929" spans="11:15">
      <c r="K1929" s="1475">
        <v>43986</v>
      </c>
      <c r="L1929" s="1476" t="s">
        <v>2127</v>
      </c>
      <c r="M1929" s="1477">
        <v>1.1344999999999999E-2</v>
      </c>
      <c r="N1929" s="1478">
        <v>1.5983315296239842</v>
      </c>
      <c r="O1929" s="1478"/>
    </row>
    <row r="1930" spans="11:15">
      <c r="K1930" s="1475">
        <v>43987</v>
      </c>
      <c r="L1930" s="1476" t="s">
        <v>2127</v>
      </c>
      <c r="M1930" s="1477">
        <v>1.1344999999999999E-2</v>
      </c>
      <c r="N1930" s="1478">
        <v>1.5985128603360199</v>
      </c>
      <c r="O1930" s="1478"/>
    </row>
    <row r="1931" spans="11:15">
      <c r="K1931" s="1475">
        <v>43988</v>
      </c>
      <c r="L1931" s="1476"/>
      <c r="M1931" s="1477">
        <v>0</v>
      </c>
      <c r="N1931" s="1478">
        <v>1.5985128603360199</v>
      </c>
      <c r="O1931" s="1478"/>
    </row>
    <row r="1932" spans="11:15">
      <c r="K1932" s="1475">
        <v>43989</v>
      </c>
      <c r="L1932" s="1476"/>
      <c r="M1932" s="1477">
        <v>0</v>
      </c>
      <c r="N1932" s="1478">
        <v>1.5985128603360199</v>
      </c>
      <c r="O1932" s="1478"/>
    </row>
    <row r="1933" spans="11:15">
      <c r="K1933" s="1475">
        <v>43990</v>
      </c>
      <c r="L1933" s="1476" t="s">
        <v>2127</v>
      </c>
      <c r="M1933" s="1477">
        <v>1.1344999999999999E-2</v>
      </c>
      <c r="N1933" s="1478">
        <v>1.5986942116200249</v>
      </c>
      <c r="O1933" s="1478"/>
    </row>
    <row r="1934" spans="11:15">
      <c r="K1934" s="1475">
        <v>43991</v>
      </c>
      <c r="L1934" s="1476" t="s">
        <v>2127</v>
      </c>
      <c r="M1934" s="1477">
        <v>1.1344999999999999E-2</v>
      </c>
      <c r="N1934" s="1478">
        <v>1.598875583478333</v>
      </c>
      <c r="O1934" s="1478"/>
    </row>
    <row r="1935" spans="11:15">
      <c r="K1935" s="1475">
        <v>43992</v>
      </c>
      <c r="L1935" s="1476" t="s">
        <v>2127</v>
      </c>
      <c r="M1935" s="1477">
        <v>1.1344999999999999E-2</v>
      </c>
      <c r="N1935" s="1478">
        <v>1.5990569759132787</v>
      </c>
      <c r="O1935" s="1478"/>
    </row>
    <row r="1936" spans="11:15">
      <c r="K1936" s="1475">
        <v>43993</v>
      </c>
      <c r="L1936" s="1476"/>
      <c r="M1936" s="1477">
        <v>0</v>
      </c>
      <c r="N1936" s="1478">
        <v>1.5990569759132787</v>
      </c>
      <c r="O1936" s="1478"/>
    </row>
    <row r="1937" spans="11:15">
      <c r="K1937" s="1475">
        <v>43994</v>
      </c>
      <c r="L1937" s="1476" t="s">
        <v>2127</v>
      </c>
      <c r="M1937" s="1477">
        <v>1.1344999999999999E-2</v>
      </c>
      <c r="N1937" s="1478">
        <v>1.5992383889271959</v>
      </c>
      <c r="O1937" s="1478"/>
    </row>
    <row r="1938" spans="11:15">
      <c r="K1938" s="1475">
        <v>43995</v>
      </c>
      <c r="L1938" s="1476"/>
      <c r="M1938" s="1477">
        <v>0</v>
      </c>
      <c r="N1938" s="1478">
        <v>1.5992383889271959</v>
      </c>
      <c r="O1938" s="1478"/>
    </row>
    <row r="1939" spans="11:15">
      <c r="K1939" s="1475">
        <v>43996</v>
      </c>
      <c r="L1939" s="1476"/>
      <c r="M1939" s="1477">
        <v>0</v>
      </c>
      <c r="N1939" s="1478">
        <v>1.5992383889271959</v>
      </c>
      <c r="O1939" s="1478"/>
    </row>
    <row r="1940" spans="11:15">
      <c r="K1940" s="1475">
        <v>43997</v>
      </c>
      <c r="L1940" s="1476" t="s">
        <v>2127</v>
      </c>
      <c r="M1940" s="1477">
        <v>1.1344999999999999E-2</v>
      </c>
      <c r="N1940" s="1478">
        <v>1.5994198225224197</v>
      </c>
      <c r="O1940" s="1478"/>
    </row>
    <row r="1941" spans="11:15">
      <c r="K1941" s="1475">
        <v>43998</v>
      </c>
      <c r="L1941" s="1476" t="s">
        <v>2127</v>
      </c>
      <c r="M1941" s="1477">
        <v>1.1344999999999999E-2</v>
      </c>
      <c r="N1941" s="1478">
        <v>1.5996012767012848</v>
      </c>
      <c r="O1941" s="1478"/>
    </row>
    <row r="1942" spans="11:15">
      <c r="K1942" s="1475">
        <v>43999</v>
      </c>
      <c r="L1942" s="1476" t="s">
        <v>2127</v>
      </c>
      <c r="M1942" s="1477">
        <v>1.1344999999999999E-2</v>
      </c>
      <c r="N1942" s="1478">
        <v>1.5997827514661265</v>
      </c>
      <c r="O1942" s="1478"/>
    </row>
    <row r="1943" spans="11:15">
      <c r="K1943" s="1475">
        <v>44000</v>
      </c>
      <c r="L1943" s="1476" t="s">
        <v>2127</v>
      </c>
      <c r="M1943" s="1477">
        <v>8.4419999999999999E-3</v>
      </c>
      <c r="N1943" s="1478">
        <v>1.5999178051260055</v>
      </c>
      <c r="O1943" s="1478"/>
    </row>
    <row r="1944" spans="11:15">
      <c r="K1944" s="1475">
        <v>44001</v>
      </c>
      <c r="L1944" s="1476" t="s">
        <v>2127</v>
      </c>
      <c r="M1944" s="1477">
        <v>8.4419999999999999E-3</v>
      </c>
      <c r="N1944" s="1478">
        <v>1.6000528701871144</v>
      </c>
      <c r="O1944" s="1478"/>
    </row>
    <row r="1945" spans="11:15">
      <c r="K1945" s="1475">
        <v>44002</v>
      </c>
      <c r="L1945" s="1476"/>
      <c r="M1945" s="1477">
        <v>0</v>
      </c>
      <c r="N1945" s="1478">
        <v>1.6000528701871144</v>
      </c>
      <c r="O1945" s="1478"/>
    </row>
    <row r="1946" spans="11:15">
      <c r="K1946" s="1475">
        <v>44003</v>
      </c>
      <c r="L1946" s="1476"/>
      <c r="M1946" s="1477">
        <v>0</v>
      </c>
      <c r="N1946" s="1478">
        <v>1.6000528701871144</v>
      </c>
      <c r="O1946" s="1478"/>
    </row>
    <row r="1947" spans="11:15">
      <c r="K1947" s="1475">
        <v>44004</v>
      </c>
      <c r="L1947" s="1476" t="s">
        <v>2127</v>
      </c>
      <c r="M1947" s="1477">
        <v>8.4419999999999999E-3</v>
      </c>
      <c r="N1947" s="1478">
        <v>1.6001879466504156</v>
      </c>
      <c r="O1947" s="1478"/>
    </row>
    <row r="1948" spans="11:15">
      <c r="K1948" s="1475">
        <v>44005</v>
      </c>
      <c r="L1948" s="1476" t="s">
        <v>2127</v>
      </c>
      <c r="M1948" s="1477">
        <v>8.4419999999999999E-3</v>
      </c>
      <c r="N1948" s="1478">
        <v>1.600323034516872</v>
      </c>
      <c r="O1948" s="1478"/>
    </row>
    <row r="1949" spans="11:15">
      <c r="K1949" s="1475">
        <v>44006</v>
      </c>
      <c r="L1949" s="1476" t="s">
        <v>2127</v>
      </c>
      <c r="M1949" s="1477">
        <v>8.4419999999999999E-3</v>
      </c>
      <c r="N1949" s="1478">
        <v>1.6004581337874459</v>
      </c>
      <c r="O1949" s="1478"/>
    </row>
    <row r="1950" spans="11:15">
      <c r="K1950" s="1475">
        <v>44007</v>
      </c>
      <c r="L1950" s="1476" t="s">
        <v>2127</v>
      </c>
      <c r="M1950" s="1477">
        <v>8.4419999999999999E-3</v>
      </c>
      <c r="N1950" s="1478">
        <v>1.6005932444631004</v>
      </c>
      <c r="O1950" s="1478"/>
    </row>
    <row r="1951" spans="11:15">
      <c r="K1951" s="1475">
        <v>44008</v>
      </c>
      <c r="L1951" s="1476" t="s">
        <v>2127</v>
      </c>
      <c r="M1951" s="1477">
        <v>8.4419999999999999E-3</v>
      </c>
      <c r="N1951" s="1478">
        <v>1.600728366544798</v>
      </c>
      <c r="O1951" s="1478"/>
    </row>
    <row r="1952" spans="11:15">
      <c r="K1952" s="1475">
        <v>44009</v>
      </c>
      <c r="L1952" s="1476"/>
      <c r="M1952" s="1477">
        <v>0</v>
      </c>
      <c r="N1952" s="1478">
        <v>1.600728366544798</v>
      </c>
      <c r="O1952" s="1478"/>
    </row>
    <row r="1953" spans="11:15">
      <c r="K1953" s="1475">
        <v>44010</v>
      </c>
      <c r="L1953" s="1476"/>
      <c r="M1953" s="1477">
        <v>0</v>
      </c>
      <c r="N1953" s="1478">
        <v>1.600728366544798</v>
      </c>
      <c r="O1953" s="1478"/>
    </row>
    <row r="1954" spans="11:15">
      <c r="K1954" s="1475">
        <v>44011</v>
      </c>
      <c r="L1954" s="1476" t="s">
        <v>2127</v>
      </c>
      <c r="M1954" s="1477">
        <v>8.4419999999999999E-3</v>
      </c>
      <c r="N1954" s="1478">
        <v>1.6008635000335019</v>
      </c>
      <c r="O1954" s="1478"/>
    </row>
    <row r="1955" spans="11:15">
      <c r="K1955" s="1475">
        <v>44012</v>
      </c>
      <c r="L1955" s="1476" t="s">
        <v>2127</v>
      </c>
      <c r="M1955" s="1477">
        <v>8.4419999999999999E-3</v>
      </c>
      <c r="N1955" s="1478">
        <v>1.6009986449301747</v>
      </c>
      <c r="O1955" s="1478"/>
    </row>
    <row r="1956" spans="11:15">
      <c r="K1956" s="1475">
        <v>44013</v>
      </c>
      <c r="L1956" s="1476" t="s">
        <v>2127</v>
      </c>
      <c r="M1956" s="1477">
        <v>8.4419999999999999E-3</v>
      </c>
      <c r="N1956" s="1478">
        <v>1.6011338012357799</v>
      </c>
      <c r="O1956" s="1478"/>
    </row>
    <row r="1957" spans="11:15">
      <c r="K1957" s="1475">
        <v>44014</v>
      </c>
      <c r="L1957" s="1476" t="s">
        <v>2127</v>
      </c>
      <c r="M1957" s="1477">
        <v>8.4419999999999999E-3</v>
      </c>
      <c r="N1957" s="1478">
        <v>1.6012689689512802</v>
      </c>
      <c r="O1957" s="1478"/>
    </row>
    <row r="1958" spans="11:15">
      <c r="K1958" s="1475">
        <v>44015</v>
      </c>
      <c r="L1958" s="1476" t="s">
        <v>2127</v>
      </c>
      <c r="M1958" s="1477">
        <v>8.4419999999999999E-3</v>
      </c>
      <c r="N1958" s="1478">
        <v>1.6014041480776393</v>
      </c>
      <c r="O1958" s="1478"/>
    </row>
    <row r="1959" spans="11:15">
      <c r="K1959" s="1475">
        <v>44016</v>
      </c>
      <c r="L1959" s="1476"/>
      <c r="M1959" s="1477">
        <v>0</v>
      </c>
      <c r="N1959" s="1478">
        <v>1.6014041480776393</v>
      </c>
      <c r="O1959" s="1478"/>
    </row>
    <row r="1960" spans="11:15">
      <c r="K1960" s="1475">
        <v>44017</v>
      </c>
      <c r="L1960" s="1476"/>
      <c r="M1960" s="1477">
        <v>0</v>
      </c>
      <c r="N1960" s="1478">
        <v>1.6014041480776393</v>
      </c>
      <c r="O1960" s="1478"/>
    </row>
    <row r="1961" spans="11:15">
      <c r="K1961" s="1475">
        <v>44018</v>
      </c>
      <c r="L1961" s="1476" t="s">
        <v>2127</v>
      </c>
      <c r="M1961" s="1477">
        <v>8.4419999999999999E-3</v>
      </c>
      <c r="N1961" s="1478">
        <v>1.6015393386158201</v>
      </c>
      <c r="O1961" s="1478"/>
    </row>
    <row r="1962" spans="11:15">
      <c r="K1962" s="1475">
        <v>44019</v>
      </c>
      <c r="L1962" s="1476" t="s">
        <v>2127</v>
      </c>
      <c r="M1962" s="1477">
        <v>8.4419999999999999E-3</v>
      </c>
      <c r="N1962" s="1478">
        <v>1.6016745405667863</v>
      </c>
      <c r="O1962" s="1478"/>
    </row>
    <row r="1963" spans="11:15">
      <c r="K1963" s="1475">
        <v>44020</v>
      </c>
      <c r="L1963" s="1476" t="s">
        <v>2127</v>
      </c>
      <c r="M1963" s="1477">
        <v>8.4419999999999999E-3</v>
      </c>
      <c r="N1963" s="1478">
        <v>1.601809753931501</v>
      </c>
      <c r="O1963" s="1478"/>
    </row>
    <row r="1964" spans="11:15">
      <c r="K1964" s="1475">
        <v>44021</v>
      </c>
      <c r="L1964" s="1476" t="s">
        <v>2127</v>
      </c>
      <c r="M1964" s="1477">
        <v>8.4419999999999999E-3</v>
      </c>
      <c r="N1964" s="1478">
        <v>1.6019449787109281</v>
      </c>
      <c r="O1964" s="1478"/>
    </row>
    <row r="1965" spans="11:15">
      <c r="K1965" s="1475">
        <v>44022</v>
      </c>
      <c r="L1965" s="1476" t="s">
        <v>2127</v>
      </c>
      <c r="M1965" s="1477">
        <v>8.4419999999999999E-3</v>
      </c>
      <c r="N1965" s="1478">
        <v>1.6020802149060309</v>
      </c>
      <c r="O1965" s="1478"/>
    </row>
    <row r="1966" spans="11:15">
      <c r="K1966" s="1475">
        <v>44023</v>
      </c>
      <c r="L1966" s="1476"/>
      <c r="M1966" s="1477">
        <v>0</v>
      </c>
      <c r="N1966" s="1478">
        <v>1.6020802149060309</v>
      </c>
      <c r="O1966" s="1478"/>
    </row>
    <row r="1967" spans="11:15">
      <c r="K1967" s="1475">
        <v>44024</v>
      </c>
      <c r="L1967" s="1476"/>
      <c r="M1967" s="1477">
        <v>0</v>
      </c>
      <c r="N1967" s="1478">
        <v>1.6020802149060309</v>
      </c>
      <c r="O1967" s="1478"/>
    </row>
    <row r="1968" spans="11:15">
      <c r="K1968" s="1475">
        <v>44025</v>
      </c>
      <c r="L1968" s="1476" t="s">
        <v>2127</v>
      </c>
      <c r="M1968" s="1477">
        <v>8.4419999999999999E-3</v>
      </c>
      <c r="N1968" s="1478">
        <v>1.6022154625177734</v>
      </c>
      <c r="O1968" s="1478"/>
    </row>
    <row r="1969" spans="11:15">
      <c r="K1969" s="1475">
        <v>44026</v>
      </c>
      <c r="L1969" s="1476" t="s">
        <v>2127</v>
      </c>
      <c r="M1969" s="1477">
        <v>8.4419999999999999E-3</v>
      </c>
      <c r="N1969" s="1478">
        <v>1.6023507215471193</v>
      </c>
      <c r="O1969" s="1478"/>
    </row>
    <row r="1970" spans="11:15">
      <c r="K1970" s="1475">
        <v>44027</v>
      </c>
      <c r="L1970" s="1476" t="s">
        <v>2127</v>
      </c>
      <c r="M1970" s="1477">
        <v>8.4419999999999999E-3</v>
      </c>
      <c r="N1970" s="1478">
        <v>1.6024859919950325</v>
      </c>
      <c r="O1970" s="1478"/>
    </row>
    <row r="1971" spans="11:15">
      <c r="K1971" s="1475">
        <v>44028</v>
      </c>
      <c r="L1971" s="1476" t="s">
        <v>2127</v>
      </c>
      <c r="M1971" s="1477">
        <v>8.4419999999999999E-3</v>
      </c>
      <c r="N1971" s="1478">
        <v>1.6026212738624768</v>
      </c>
      <c r="O1971" s="1478"/>
    </row>
    <row r="1972" spans="11:15">
      <c r="K1972" s="1475">
        <v>44029</v>
      </c>
      <c r="L1972" s="1476" t="s">
        <v>2127</v>
      </c>
      <c r="M1972" s="1477">
        <v>8.4419999999999999E-3</v>
      </c>
      <c r="N1972" s="1478">
        <v>1.6027565671504165</v>
      </c>
      <c r="O1972" s="1478"/>
    </row>
    <row r="1973" spans="11:15">
      <c r="K1973" s="1475">
        <v>44030</v>
      </c>
      <c r="L1973" s="1476"/>
      <c r="M1973" s="1477">
        <v>0</v>
      </c>
      <c r="N1973" s="1478">
        <v>1.6027565671504165</v>
      </c>
      <c r="O1973" s="1478"/>
    </row>
    <row r="1974" spans="11:15">
      <c r="K1974" s="1475">
        <v>44031</v>
      </c>
      <c r="L1974" s="1476"/>
      <c r="M1974" s="1477">
        <v>0</v>
      </c>
      <c r="N1974" s="1478">
        <v>1.6027565671504165</v>
      </c>
      <c r="O1974" s="1478"/>
    </row>
    <row r="1975" spans="11:15">
      <c r="K1975" s="1475">
        <v>44032</v>
      </c>
      <c r="L1975" s="1476" t="s">
        <v>2127</v>
      </c>
      <c r="M1975" s="1477">
        <v>8.4419999999999999E-3</v>
      </c>
      <c r="N1975" s="1478">
        <v>1.6028918718598155</v>
      </c>
      <c r="O1975" s="1478"/>
    </row>
    <row r="1976" spans="11:15">
      <c r="K1976" s="1475">
        <v>44033</v>
      </c>
      <c r="L1976" s="1476" t="s">
        <v>2127</v>
      </c>
      <c r="M1976" s="1477">
        <v>8.4419999999999999E-3</v>
      </c>
      <c r="N1976" s="1478">
        <v>1.603027187991638</v>
      </c>
      <c r="O1976" s="1478"/>
    </row>
    <row r="1977" spans="11:15">
      <c r="K1977" s="1475">
        <v>44034</v>
      </c>
      <c r="L1977" s="1476" t="s">
        <v>2127</v>
      </c>
      <c r="M1977" s="1477">
        <v>8.4419999999999999E-3</v>
      </c>
      <c r="N1977" s="1478">
        <v>1.6031625155468483</v>
      </c>
      <c r="O1977" s="1478"/>
    </row>
    <row r="1978" spans="11:15">
      <c r="K1978" s="1475">
        <v>44035</v>
      </c>
      <c r="L1978" s="1476" t="s">
        <v>2127</v>
      </c>
      <c r="M1978" s="1477">
        <v>8.4419999999999999E-3</v>
      </c>
      <c r="N1978" s="1478">
        <v>1.6032978545264109</v>
      </c>
      <c r="O1978" s="1478"/>
    </row>
    <row r="1979" spans="11:15">
      <c r="K1979" s="1475">
        <v>44036</v>
      </c>
      <c r="L1979" s="1476" t="s">
        <v>2127</v>
      </c>
      <c r="M1979" s="1477">
        <v>8.4419999999999999E-3</v>
      </c>
      <c r="N1979" s="1478">
        <v>1.6034332049312903</v>
      </c>
      <c r="O1979" s="1478"/>
    </row>
    <row r="1980" spans="11:15">
      <c r="K1980" s="1475">
        <v>44037</v>
      </c>
      <c r="L1980" s="1476"/>
      <c r="M1980" s="1477">
        <v>0</v>
      </c>
      <c r="N1980" s="1478">
        <v>1.6034332049312903</v>
      </c>
      <c r="O1980" s="1478"/>
    </row>
    <row r="1981" spans="11:15">
      <c r="K1981" s="1475">
        <v>44038</v>
      </c>
      <c r="L1981" s="1476"/>
      <c r="M1981" s="1477">
        <v>0</v>
      </c>
      <c r="N1981" s="1478">
        <v>1.6034332049312903</v>
      </c>
      <c r="O1981" s="1478"/>
    </row>
    <row r="1982" spans="11:15">
      <c r="K1982" s="1475">
        <v>44039</v>
      </c>
      <c r="L1982" s="1476" t="s">
        <v>2127</v>
      </c>
      <c r="M1982" s="1477">
        <v>8.4419999999999999E-3</v>
      </c>
      <c r="N1982" s="1478">
        <v>1.6035685667624506</v>
      </c>
      <c r="O1982" s="1478"/>
    </row>
    <row r="1983" spans="11:15">
      <c r="K1983" s="1475">
        <v>44040</v>
      </c>
      <c r="L1983" s="1476" t="s">
        <v>2127</v>
      </c>
      <c r="M1983" s="1477">
        <v>8.4419999999999999E-3</v>
      </c>
      <c r="N1983" s="1478">
        <v>1.6037039400208568</v>
      </c>
      <c r="O1983" s="1478"/>
    </row>
    <row r="1984" spans="11:15">
      <c r="K1984" s="1475">
        <v>44041</v>
      </c>
      <c r="L1984" s="1476" t="s">
        <v>2127</v>
      </c>
      <c r="M1984" s="1477">
        <v>8.4419999999999999E-3</v>
      </c>
      <c r="N1984" s="1478">
        <v>1.6038393247074736</v>
      </c>
      <c r="O1984" s="1478"/>
    </row>
    <row r="1985" spans="11:15">
      <c r="K1985" s="1475">
        <v>44042</v>
      </c>
      <c r="L1985" s="1476" t="s">
        <v>2127</v>
      </c>
      <c r="M1985" s="1477">
        <v>8.4419999999999999E-3</v>
      </c>
      <c r="N1985" s="1478">
        <v>1.6039747208232655</v>
      </c>
      <c r="O1985" s="1478"/>
    </row>
    <row r="1986" spans="11:15">
      <c r="K1986" s="1475">
        <v>44043</v>
      </c>
      <c r="L1986" s="1476" t="s">
        <v>2127</v>
      </c>
      <c r="M1986" s="1477">
        <v>8.4419999999999999E-3</v>
      </c>
      <c r="N1986" s="1478">
        <v>1.6041101283691976</v>
      </c>
      <c r="O1986" s="1478"/>
    </row>
    <row r="1987" spans="11:15">
      <c r="K1987" s="1475">
        <v>44044</v>
      </c>
      <c r="L1987" s="1476"/>
      <c r="M1987" s="1477">
        <v>0</v>
      </c>
      <c r="N1987" s="1478">
        <v>1.6041101283691976</v>
      </c>
      <c r="O1987" s="1478"/>
    </row>
    <row r="1988" spans="11:15">
      <c r="K1988" s="1475">
        <v>44045</v>
      </c>
      <c r="L1988" s="1476"/>
      <c r="M1988" s="1477">
        <v>0</v>
      </c>
      <c r="N1988" s="1478">
        <v>1.6041101283691976</v>
      </c>
      <c r="O1988" s="1478"/>
    </row>
    <row r="1989" spans="11:15">
      <c r="K1989" s="1475">
        <v>44046</v>
      </c>
      <c r="L1989" s="1476" t="s">
        <v>2127</v>
      </c>
      <c r="M1989" s="1477">
        <v>8.4419999999999999E-3</v>
      </c>
      <c r="N1989" s="1478">
        <v>1.6042455473462347</v>
      </c>
      <c r="O1989" s="1478"/>
    </row>
    <row r="1990" spans="11:15">
      <c r="K1990" s="1475">
        <v>44047</v>
      </c>
      <c r="L1990" s="1476" t="s">
        <v>2127</v>
      </c>
      <c r="M1990" s="1477">
        <v>8.4419999999999999E-3</v>
      </c>
      <c r="N1990" s="1478">
        <v>1.6043809777553417</v>
      </c>
      <c r="O1990" s="1478"/>
    </row>
    <row r="1991" spans="11:15">
      <c r="K1991" s="1475">
        <v>44048</v>
      </c>
      <c r="L1991" s="1476" t="s">
        <v>2127</v>
      </c>
      <c r="M1991" s="1477">
        <v>8.4419999999999999E-3</v>
      </c>
      <c r="N1991" s="1478">
        <v>1.6045164195974839</v>
      </c>
      <c r="O1991" s="1478"/>
    </row>
    <row r="1992" spans="11:15">
      <c r="K1992" s="1475">
        <v>44049</v>
      </c>
      <c r="L1992" s="1476" t="s">
        <v>2127</v>
      </c>
      <c r="M1992" s="1477">
        <v>7.4689999999999999E-3</v>
      </c>
      <c r="N1992" s="1478">
        <v>1.6046362609288636</v>
      </c>
      <c r="O1992" s="1478"/>
    </row>
    <row r="1993" spans="11:15">
      <c r="K1993" s="1475">
        <v>44050</v>
      </c>
      <c r="L1993" s="1476" t="s">
        <v>2127</v>
      </c>
      <c r="M1993" s="1477">
        <v>7.4689999999999999E-3</v>
      </c>
      <c r="N1993" s="1478">
        <v>1.6047561112111923</v>
      </c>
      <c r="O1993" s="1478"/>
    </row>
    <row r="1994" spans="11:15">
      <c r="K1994" s="1475">
        <v>44051</v>
      </c>
      <c r="L1994" s="1476"/>
      <c r="M1994" s="1477">
        <v>0</v>
      </c>
      <c r="N1994" s="1478">
        <v>1.6047561112111923</v>
      </c>
      <c r="O1994" s="1478"/>
    </row>
    <row r="1995" spans="11:15">
      <c r="K1995" s="1475">
        <v>44052</v>
      </c>
      <c r="L1995" s="1476"/>
      <c r="M1995" s="1477">
        <v>0</v>
      </c>
      <c r="N1995" s="1478">
        <v>1.6047561112111923</v>
      </c>
      <c r="O1995" s="1478"/>
    </row>
    <row r="1996" spans="11:15">
      <c r="K1996" s="1475">
        <v>44053</v>
      </c>
      <c r="L1996" s="1476" t="s">
        <v>2127</v>
      </c>
      <c r="M1996" s="1477">
        <v>7.4689999999999999E-3</v>
      </c>
      <c r="N1996" s="1478">
        <v>1.6048759704451385</v>
      </c>
      <c r="O1996" s="1478"/>
    </row>
    <row r="1997" spans="11:15">
      <c r="K1997" s="1475">
        <v>44054</v>
      </c>
      <c r="L1997" s="1476" t="s">
        <v>2127</v>
      </c>
      <c r="M1997" s="1477">
        <v>7.4689999999999999E-3</v>
      </c>
      <c r="N1997" s="1478">
        <v>1.604995838631371</v>
      </c>
      <c r="O1997" s="1478"/>
    </row>
    <row r="1998" spans="11:15">
      <c r="K1998" s="1475">
        <v>44055</v>
      </c>
      <c r="L1998" s="1476" t="s">
        <v>2127</v>
      </c>
      <c r="M1998" s="1477">
        <v>7.4689999999999999E-3</v>
      </c>
      <c r="N1998" s="1478">
        <v>1.6051157157705582</v>
      </c>
      <c r="O1998" s="1478"/>
    </row>
    <row r="1999" spans="11:15">
      <c r="K1999" s="1475">
        <v>44056</v>
      </c>
      <c r="L1999" s="1476" t="s">
        <v>2127</v>
      </c>
      <c r="M1999" s="1477">
        <v>7.4689999999999999E-3</v>
      </c>
      <c r="N1999" s="1478">
        <v>1.6052356018633691</v>
      </c>
      <c r="O1999" s="1478"/>
    </row>
    <row r="2000" spans="11:15">
      <c r="K2000" s="1475">
        <v>44057</v>
      </c>
      <c r="L2000" s="1476" t="s">
        <v>2127</v>
      </c>
      <c r="M2000" s="1477">
        <v>7.4689999999999999E-3</v>
      </c>
      <c r="N2000" s="1478">
        <v>1.6053554969104722</v>
      </c>
      <c r="O2000" s="1478"/>
    </row>
    <row r="2001" spans="11:15">
      <c r="K2001" s="1475">
        <v>44058</v>
      </c>
      <c r="L2001" s="1476"/>
      <c r="M2001" s="1477">
        <v>0</v>
      </c>
      <c r="N2001" s="1478">
        <v>1.6053554969104722</v>
      </c>
      <c r="O2001" s="1478"/>
    </row>
    <row r="2002" spans="11:15">
      <c r="K2002" s="1475">
        <v>44059</v>
      </c>
      <c r="L2002" s="1476"/>
      <c r="M2002" s="1477">
        <v>0</v>
      </c>
      <c r="N2002" s="1478">
        <v>1.6053554969104722</v>
      </c>
      <c r="O2002" s="1478"/>
    </row>
    <row r="2003" spans="11:15">
      <c r="K2003" s="1475">
        <v>44060</v>
      </c>
      <c r="L2003" s="1476" t="s">
        <v>2127</v>
      </c>
      <c r="M2003" s="1477">
        <v>7.4689999999999999E-3</v>
      </c>
      <c r="N2003" s="1478">
        <v>1.6054754009125363</v>
      </c>
      <c r="O2003" s="1478"/>
    </row>
    <row r="2004" spans="11:15">
      <c r="K2004" s="1475">
        <v>44061</v>
      </c>
      <c r="L2004" s="1476" t="s">
        <v>2127</v>
      </c>
      <c r="M2004" s="1477">
        <v>7.4689999999999999E-3</v>
      </c>
      <c r="N2004" s="1478">
        <v>1.6055953138702304</v>
      </c>
      <c r="O2004" s="1478"/>
    </row>
    <row r="2005" spans="11:15">
      <c r="K2005" s="1475">
        <v>44062</v>
      </c>
      <c r="L2005" s="1476" t="s">
        <v>2127</v>
      </c>
      <c r="M2005" s="1477">
        <v>7.4689999999999999E-3</v>
      </c>
      <c r="N2005" s="1478">
        <v>1.6057152357842233</v>
      </c>
      <c r="O2005" s="1478"/>
    </row>
    <row r="2006" spans="11:15">
      <c r="K2006" s="1475">
        <v>44063</v>
      </c>
      <c r="L2006" s="1476" t="s">
        <v>2127</v>
      </c>
      <c r="M2006" s="1477">
        <v>7.4689999999999999E-3</v>
      </c>
      <c r="N2006" s="1478">
        <v>1.6058351666551838</v>
      </c>
      <c r="O2006" s="1478"/>
    </row>
    <row r="2007" spans="11:15">
      <c r="K2007" s="1475">
        <v>44064</v>
      </c>
      <c r="L2007" s="1476" t="s">
        <v>2127</v>
      </c>
      <c r="M2007" s="1477">
        <v>7.4689999999999999E-3</v>
      </c>
      <c r="N2007" s="1478">
        <v>1.6059551064837811</v>
      </c>
      <c r="O2007" s="1478"/>
    </row>
    <row r="2008" spans="11:15">
      <c r="K2008" s="1475">
        <v>44065</v>
      </c>
      <c r="L2008" s="1476"/>
      <c r="M2008" s="1477">
        <v>0</v>
      </c>
      <c r="N2008" s="1478">
        <v>1.6059551064837811</v>
      </c>
      <c r="O2008" s="1478"/>
    </row>
    <row r="2009" spans="11:15">
      <c r="K2009" s="1475">
        <v>44066</v>
      </c>
      <c r="L2009" s="1476"/>
      <c r="M2009" s="1477">
        <v>0</v>
      </c>
      <c r="N2009" s="1478">
        <v>1.6059551064837811</v>
      </c>
      <c r="O2009" s="1478"/>
    </row>
    <row r="2010" spans="11:15">
      <c r="K2010" s="1475">
        <v>44067</v>
      </c>
      <c r="L2010" s="1476" t="s">
        <v>2127</v>
      </c>
      <c r="M2010" s="1477">
        <v>7.4689999999999999E-3</v>
      </c>
      <c r="N2010" s="1478">
        <v>1.6060750552706844</v>
      </c>
      <c r="O2010" s="1478"/>
    </row>
    <row r="2011" spans="11:15">
      <c r="K2011" s="1475">
        <v>44068</v>
      </c>
      <c r="L2011" s="1476" t="s">
        <v>2127</v>
      </c>
      <c r="M2011" s="1477">
        <v>7.4689999999999999E-3</v>
      </c>
      <c r="N2011" s="1478">
        <v>1.6061950130165625</v>
      </c>
      <c r="O2011" s="1478"/>
    </row>
    <row r="2012" spans="11:15">
      <c r="K2012" s="1475">
        <v>44069</v>
      </c>
      <c r="L2012" s="1476" t="s">
        <v>2127</v>
      </c>
      <c r="M2012" s="1477">
        <v>7.4689999999999999E-3</v>
      </c>
      <c r="N2012" s="1478">
        <v>1.6063149797220846</v>
      </c>
      <c r="O2012" s="1478"/>
    </row>
    <row r="2013" spans="11:15">
      <c r="K2013" s="1475">
        <v>44070</v>
      </c>
      <c r="L2013" s="1476" t="s">
        <v>2127</v>
      </c>
      <c r="M2013" s="1477">
        <v>7.4689999999999999E-3</v>
      </c>
      <c r="N2013" s="1478">
        <v>1.60643495538792</v>
      </c>
      <c r="O2013" s="1478"/>
    </row>
    <row r="2014" spans="11:15">
      <c r="K2014" s="1475">
        <v>44071</v>
      </c>
      <c r="L2014" s="1476" t="s">
        <v>2127</v>
      </c>
      <c r="M2014" s="1477">
        <v>7.4689999999999999E-3</v>
      </c>
      <c r="N2014" s="1478">
        <v>1.6065549400147379</v>
      </c>
      <c r="O2014" s="1478"/>
    </row>
    <row r="2015" spans="11:15">
      <c r="K2015" s="1475">
        <v>44072</v>
      </c>
      <c r="L2015" s="1476"/>
      <c r="M2015" s="1477">
        <v>0</v>
      </c>
      <c r="N2015" s="1478">
        <v>1.6065549400147379</v>
      </c>
      <c r="O2015" s="1478"/>
    </row>
    <row r="2016" spans="11:15">
      <c r="K2016" s="1475">
        <v>44073</v>
      </c>
      <c r="L2016" s="1476"/>
      <c r="M2016" s="1477">
        <v>0</v>
      </c>
      <c r="N2016" s="1478">
        <v>1.6065549400147379</v>
      </c>
      <c r="O2016" s="1478"/>
    </row>
    <row r="2017" spans="11:15">
      <c r="K2017" s="1475">
        <v>44074</v>
      </c>
      <c r="L2017" s="1476" t="s">
        <v>2127</v>
      </c>
      <c r="M2017" s="1477">
        <v>7.4689999999999999E-3</v>
      </c>
      <c r="N2017" s="1478">
        <v>1.6066749336032076</v>
      </c>
      <c r="O2017" s="1478"/>
    </row>
    <row r="2018" spans="11:15">
      <c r="K2018" s="1475">
        <v>44075</v>
      </c>
      <c r="L2018" s="1476" t="s">
        <v>2127</v>
      </c>
      <c r="M2018" s="1477">
        <v>7.4689999999999999E-3</v>
      </c>
      <c r="N2018" s="1478">
        <v>1.6067949361539984</v>
      </c>
      <c r="O2018" s="1478"/>
    </row>
    <row r="2019" spans="11:15">
      <c r="K2019" s="1475">
        <v>44076</v>
      </c>
      <c r="L2019" s="1476" t="s">
        <v>2127</v>
      </c>
      <c r="M2019" s="1477">
        <v>7.4689999999999999E-3</v>
      </c>
      <c r="N2019" s="1478">
        <v>1.6069149476677795</v>
      </c>
      <c r="O2019" s="1478"/>
    </row>
    <row r="2020" spans="11:15">
      <c r="K2020" s="1475">
        <v>44077</v>
      </c>
      <c r="L2020" s="1476" t="s">
        <v>2127</v>
      </c>
      <c r="M2020" s="1477">
        <v>7.4689999999999999E-3</v>
      </c>
      <c r="N2020" s="1478">
        <v>1.6070349681452207</v>
      </c>
      <c r="O2020" s="1478"/>
    </row>
    <row r="2021" spans="11:15">
      <c r="K2021" s="1475">
        <v>44078</v>
      </c>
      <c r="L2021" s="1476" t="s">
        <v>2127</v>
      </c>
      <c r="M2021" s="1477">
        <v>7.4689999999999999E-3</v>
      </c>
      <c r="N2021" s="1478">
        <v>1.6071549975869914</v>
      </c>
      <c r="O2021" s="1478"/>
    </row>
    <row r="2022" spans="11:15">
      <c r="K2022" s="1475">
        <v>44079</v>
      </c>
      <c r="L2022" s="1476"/>
      <c r="M2022" s="1477">
        <v>0</v>
      </c>
      <c r="N2022" s="1478">
        <v>1.6071549975869914</v>
      </c>
      <c r="O2022" s="1478"/>
    </row>
    <row r="2023" spans="11:15">
      <c r="K2023" s="1475">
        <v>44080</v>
      </c>
      <c r="L2023" s="1476"/>
      <c r="M2023" s="1477">
        <v>0</v>
      </c>
      <c r="N2023" s="1478">
        <v>1.6071549975869914</v>
      </c>
      <c r="O2023" s="1478"/>
    </row>
    <row r="2024" spans="11:15">
      <c r="K2024" s="1475">
        <v>44081</v>
      </c>
      <c r="L2024" s="1476"/>
      <c r="M2024" s="1477">
        <v>0</v>
      </c>
      <c r="N2024" s="1478">
        <v>1.6071549975869914</v>
      </c>
      <c r="O2024" s="1478"/>
    </row>
    <row r="2025" spans="11:15">
      <c r="K2025" s="1475">
        <v>44082</v>
      </c>
      <c r="L2025" s="1476" t="s">
        <v>2127</v>
      </c>
      <c r="M2025" s="1477">
        <v>7.4689999999999999E-3</v>
      </c>
      <c r="N2025" s="1478">
        <v>1.6072750359937611</v>
      </c>
      <c r="O2025" s="1478"/>
    </row>
    <row r="2026" spans="11:15">
      <c r="K2026" s="1475">
        <v>44083</v>
      </c>
      <c r="L2026" s="1476" t="s">
        <v>2127</v>
      </c>
      <c r="M2026" s="1477">
        <v>7.4689999999999999E-3</v>
      </c>
      <c r="N2026" s="1478">
        <v>1.6073950833661994</v>
      </c>
      <c r="O2026" s="1478"/>
    </row>
    <row r="2027" spans="11:15">
      <c r="K2027" s="1475">
        <v>44084</v>
      </c>
      <c r="L2027" s="1476" t="s">
        <v>2127</v>
      </c>
      <c r="M2027" s="1477">
        <v>7.4689999999999999E-3</v>
      </c>
      <c r="N2027" s="1478">
        <v>1.6075151397049758</v>
      </c>
      <c r="O2027" s="1478"/>
    </row>
    <row r="2028" spans="11:15">
      <c r="K2028" s="1475">
        <v>44085</v>
      </c>
      <c r="L2028" s="1476" t="s">
        <v>2127</v>
      </c>
      <c r="M2028" s="1477">
        <v>7.4689999999999999E-3</v>
      </c>
      <c r="N2028" s="1478">
        <v>1.6076352050107603</v>
      </c>
      <c r="O2028" s="1478"/>
    </row>
    <row r="2029" spans="11:15">
      <c r="K2029" s="1475">
        <v>44086</v>
      </c>
      <c r="L2029" s="1476"/>
      <c r="M2029" s="1477">
        <v>0</v>
      </c>
      <c r="N2029" s="1478">
        <v>1.6076352050107603</v>
      </c>
      <c r="O2029" s="1478"/>
    </row>
    <row r="2030" spans="11:15">
      <c r="K2030" s="1475">
        <v>44087</v>
      </c>
      <c r="L2030" s="1476"/>
      <c r="M2030" s="1477">
        <v>0</v>
      </c>
      <c r="N2030" s="1478">
        <v>1.6076352050107603</v>
      </c>
      <c r="O2030" s="1478"/>
    </row>
    <row r="2031" spans="11:15">
      <c r="K2031" s="1475">
        <v>44088</v>
      </c>
      <c r="L2031" s="1476" t="s">
        <v>2127</v>
      </c>
      <c r="M2031" s="1477">
        <v>7.4689999999999999E-3</v>
      </c>
      <c r="N2031" s="1478">
        <v>1.6077552792842225</v>
      </c>
      <c r="O2031" s="1478"/>
    </row>
    <row r="2032" spans="11:15">
      <c r="K2032" s="1475">
        <v>44089</v>
      </c>
      <c r="L2032" s="1476" t="s">
        <v>2127</v>
      </c>
      <c r="M2032" s="1477">
        <v>7.4689999999999999E-3</v>
      </c>
      <c r="N2032" s="1478">
        <v>1.607875362526032</v>
      </c>
      <c r="O2032" s="1478"/>
    </row>
    <row r="2033" spans="11:15">
      <c r="K2033" s="1475">
        <v>44090</v>
      </c>
      <c r="L2033" s="1476" t="s">
        <v>2127</v>
      </c>
      <c r="M2033" s="1477">
        <v>7.4689999999999999E-3</v>
      </c>
      <c r="N2033" s="1478">
        <v>1.6079954547368589</v>
      </c>
      <c r="O2033" s="1478"/>
    </row>
    <row r="2034" spans="11:15">
      <c r="K2034" s="1475">
        <v>44091</v>
      </c>
      <c r="L2034" s="1476" t="s">
        <v>2127</v>
      </c>
      <c r="M2034" s="1477">
        <v>7.4689999999999999E-3</v>
      </c>
      <c r="N2034" s="1478">
        <v>1.608115555917373</v>
      </c>
      <c r="O2034" s="1478"/>
    </row>
    <row r="2035" spans="11:15">
      <c r="K2035" s="1475">
        <v>44092</v>
      </c>
      <c r="L2035" s="1476" t="s">
        <v>2127</v>
      </c>
      <c r="M2035" s="1477">
        <v>7.4689999999999999E-3</v>
      </c>
      <c r="N2035" s="1478">
        <v>1.6082356660682444</v>
      </c>
      <c r="O2035" s="1478"/>
    </row>
    <row r="2036" spans="11:15">
      <c r="K2036" s="1475">
        <v>44093</v>
      </c>
      <c r="L2036" s="1476"/>
      <c r="M2036" s="1477">
        <v>0</v>
      </c>
      <c r="N2036" s="1478">
        <v>1.6082356660682444</v>
      </c>
      <c r="O2036" s="1478"/>
    </row>
    <row r="2037" spans="11:15">
      <c r="K2037" s="1475">
        <v>44094</v>
      </c>
      <c r="L2037" s="1476"/>
      <c r="M2037" s="1477">
        <v>0</v>
      </c>
      <c r="N2037" s="1478">
        <v>1.6082356660682444</v>
      </c>
      <c r="O2037" s="1478"/>
    </row>
    <row r="2038" spans="11:15">
      <c r="K2038" s="1475">
        <v>44095</v>
      </c>
      <c r="L2038" s="1476" t="s">
        <v>2127</v>
      </c>
      <c r="M2038" s="1477">
        <v>7.4689999999999999E-3</v>
      </c>
      <c r="N2038" s="1478">
        <v>1.6083557851901429</v>
      </c>
      <c r="O2038" s="1478"/>
    </row>
    <row r="2039" spans="11:15">
      <c r="K2039" s="1475">
        <v>44096</v>
      </c>
      <c r="L2039" s="1476" t="s">
        <v>2127</v>
      </c>
      <c r="M2039" s="1477">
        <v>7.4689999999999999E-3</v>
      </c>
      <c r="N2039" s="1478">
        <v>1.6084759132837387</v>
      </c>
      <c r="O2039" s="1478"/>
    </row>
    <row r="2040" spans="11:15">
      <c r="K2040" s="1475">
        <v>44097</v>
      </c>
      <c r="L2040" s="1476" t="s">
        <v>2127</v>
      </c>
      <c r="M2040" s="1477">
        <v>7.4689999999999999E-3</v>
      </c>
      <c r="N2040" s="1478">
        <v>1.6085960503497019</v>
      </c>
      <c r="O2040" s="1478"/>
    </row>
    <row r="2041" spans="11:15">
      <c r="K2041" s="1475">
        <v>44098</v>
      </c>
      <c r="L2041" s="1476" t="s">
        <v>2127</v>
      </c>
      <c r="M2041" s="1477">
        <v>7.4689999999999999E-3</v>
      </c>
      <c r="N2041" s="1478">
        <v>1.6087161963887024</v>
      </c>
      <c r="O2041" s="1478"/>
    </row>
    <row r="2042" spans="11:15">
      <c r="K2042" s="1475">
        <v>44099</v>
      </c>
      <c r="L2042" s="1476" t="s">
        <v>2127</v>
      </c>
      <c r="M2042" s="1477">
        <v>7.4689999999999999E-3</v>
      </c>
      <c r="N2042" s="1478">
        <v>1.6088363514014106</v>
      </c>
      <c r="O2042" s="1478"/>
    </row>
    <row r="2043" spans="11:15">
      <c r="K2043" s="1475">
        <v>44100</v>
      </c>
      <c r="L2043" s="1476"/>
      <c r="M2043" s="1477">
        <v>0</v>
      </c>
      <c r="N2043" s="1478">
        <v>1.6088363514014106</v>
      </c>
      <c r="O2043" s="1478"/>
    </row>
    <row r="2044" spans="11:15">
      <c r="K2044" s="1475">
        <v>44101</v>
      </c>
      <c r="L2044" s="1476"/>
      <c r="M2044" s="1477">
        <v>0</v>
      </c>
      <c r="N2044" s="1478">
        <v>1.6088363514014106</v>
      </c>
      <c r="O2044" s="1478"/>
    </row>
    <row r="2045" spans="11:15">
      <c r="K2045" s="1475">
        <v>44102</v>
      </c>
      <c r="L2045" s="1476" t="s">
        <v>2127</v>
      </c>
      <c r="M2045" s="1477">
        <v>7.4689999999999999E-3</v>
      </c>
      <c r="N2045" s="1478">
        <v>1.6089565153884966</v>
      </c>
      <c r="O2045" s="1478"/>
    </row>
    <row r="2046" spans="11:15">
      <c r="K2046" s="1475">
        <v>44103</v>
      </c>
      <c r="L2046" s="1476" t="s">
        <v>2127</v>
      </c>
      <c r="M2046" s="1477">
        <v>7.4689999999999999E-3</v>
      </c>
      <c r="N2046" s="1478">
        <v>1.6090766883506309</v>
      </c>
      <c r="O2046" s="1478"/>
    </row>
    <row r="2047" spans="11:15">
      <c r="K2047" s="1475">
        <v>44104</v>
      </c>
      <c r="L2047" s="1476" t="s">
        <v>2127</v>
      </c>
      <c r="M2047" s="1477">
        <v>7.4689999999999999E-3</v>
      </c>
      <c r="N2047" s="1478">
        <v>1.6091968702884838</v>
      </c>
      <c r="O2047" s="1478"/>
    </row>
    <row r="2048" spans="11:15">
      <c r="K2048" s="1475">
        <v>44105</v>
      </c>
      <c r="L2048" s="1476" t="s">
        <v>2127</v>
      </c>
      <c r="M2048" s="1477">
        <v>7.4689999999999999E-3</v>
      </c>
      <c r="N2048" s="1478">
        <v>1.6093170612027254</v>
      </c>
      <c r="O2048" s="1478"/>
    </row>
    <row r="2049" spans="11:15">
      <c r="K2049" s="1475">
        <v>44106</v>
      </c>
      <c r="L2049" s="1476" t="s">
        <v>2127</v>
      </c>
      <c r="M2049" s="1477">
        <v>7.4689999999999999E-3</v>
      </c>
      <c r="N2049" s="1478">
        <v>1.6094372610940266</v>
      </c>
      <c r="O2049" s="1478"/>
    </row>
    <row r="2050" spans="11:15">
      <c r="K2050" s="1475">
        <v>44107</v>
      </c>
      <c r="L2050" s="1476"/>
      <c r="M2050" s="1477">
        <v>0</v>
      </c>
      <c r="N2050" s="1478">
        <v>1.6094372610940266</v>
      </c>
      <c r="O2050" s="1478"/>
    </row>
    <row r="2051" spans="11:15">
      <c r="K2051" s="1475">
        <v>44108</v>
      </c>
      <c r="L2051" s="1476"/>
      <c r="M2051" s="1477">
        <v>0</v>
      </c>
      <c r="N2051" s="1478">
        <v>1.6094372610940266</v>
      </c>
      <c r="O2051" s="1478"/>
    </row>
    <row r="2052" spans="11:15">
      <c r="K2052" s="1475">
        <v>44109</v>
      </c>
      <c r="L2052" s="1476" t="s">
        <v>2127</v>
      </c>
      <c r="M2052" s="1477">
        <v>7.4689999999999999E-3</v>
      </c>
      <c r="N2052" s="1478">
        <v>1.6095574699630577</v>
      </c>
      <c r="O2052" s="1478"/>
    </row>
    <row r="2053" spans="11:15">
      <c r="K2053" s="1475">
        <v>44110</v>
      </c>
      <c r="L2053" s="1476" t="s">
        <v>2127</v>
      </c>
      <c r="M2053" s="1477">
        <v>7.4689999999999999E-3</v>
      </c>
      <c r="N2053" s="1478">
        <v>1.609677687810489</v>
      </c>
      <c r="O2053" s="1478"/>
    </row>
    <row r="2054" spans="11:15">
      <c r="K2054" s="1475">
        <v>44111</v>
      </c>
      <c r="L2054" s="1476" t="s">
        <v>2127</v>
      </c>
      <c r="M2054" s="1477">
        <v>7.4689999999999999E-3</v>
      </c>
      <c r="N2054" s="1478">
        <v>1.6097979146369914</v>
      </c>
      <c r="O2054" s="1478"/>
    </row>
    <row r="2055" spans="11:15">
      <c r="K2055" s="1475">
        <v>44112</v>
      </c>
      <c r="L2055" s="1476" t="s">
        <v>2127</v>
      </c>
      <c r="M2055" s="1477">
        <v>7.4689999999999999E-3</v>
      </c>
      <c r="N2055" s="1478">
        <v>1.6099181504432356</v>
      </c>
      <c r="O2055" s="1478"/>
    </row>
    <row r="2056" spans="11:15">
      <c r="K2056" s="1475">
        <v>44113</v>
      </c>
      <c r="L2056" s="1476" t="s">
        <v>2127</v>
      </c>
      <c r="M2056" s="1477">
        <v>7.4689999999999999E-3</v>
      </c>
      <c r="N2056" s="1478">
        <v>1.610038395229892</v>
      </c>
      <c r="O2056" s="1478"/>
    </row>
    <row r="2057" spans="11:15">
      <c r="K2057" s="1475">
        <v>44114</v>
      </c>
      <c r="L2057" s="1476"/>
      <c r="M2057" s="1477">
        <v>0</v>
      </c>
      <c r="N2057" s="1478">
        <v>1.610038395229892</v>
      </c>
      <c r="O2057" s="1478"/>
    </row>
    <row r="2058" spans="11:15">
      <c r="K2058" s="1475">
        <v>44115</v>
      </c>
      <c r="L2058" s="1476"/>
      <c r="M2058" s="1477">
        <v>0</v>
      </c>
      <c r="N2058" s="1478">
        <v>1.610038395229892</v>
      </c>
      <c r="O2058" s="1478"/>
    </row>
    <row r="2059" spans="11:15">
      <c r="K2059" s="1475">
        <v>44116</v>
      </c>
      <c r="L2059" s="1476"/>
      <c r="M2059" s="1477">
        <v>0</v>
      </c>
      <c r="N2059" s="1478">
        <v>1.610038395229892</v>
      </c>
      <c r="O2059" s="1478"/>
    </row>
    <row r="2060" spans="11:15">
      <c r="K2060" s="1475">
        <v>44117</v>
      </c>
      <c r="L2060" s="1476" t="s">
        <v>2127</v>
      </c>
      <c r="M2060" s="1477">
        <v>7.4689999999999999E-3</v>
      </c>
      <c r="N2060" s="1478">
        <v>1.6101586489976316</v>
      </c>
      <c r="O2060" s="1478"/>
    </row>
    <row r="2061" spans="11:15">
      <c r="K2061" s="1475">
        <v>44118</v>
      </c>
      <c r="L2061" s="1476" t="s">
        <v>2127</v>
      </c>
      <c r="M2061" s="1477">
        <v>7.4689999999999999E-3</v>
      </c>
      <c r="N2061" s="1478">
        <v>1.6102789117471252</v>
      </c>
      <c r="O2061" s="1478"/>
    </row>
    <row r="2062" spans="11:15">
      <c r="K2062" s="1475">
        <v>44119</v>
      </c>
      <c r="L2062" s="1476" t="s">
        <v>2127</v>
      </c>
      <c r="M2062" s="1477">
        <v>7.4689999999999999E-3</v>
      </c>
      <c r="N2062" s="1478">
        <v>1.6103991834790434</v>
      </c>
      <c r="O2062" s="1478"/>
    </row>
    <row r="2063" spans="11:15">
      <c r="K2063" s="1475">
        <v>44120</v>
      </c>
      <c r="L2063" s="1476" t="s">
        <v>2127</v>
      </c>
      <c r="M2063" s="1477">
        <v>7.4689999999999999E-3</v>
      </c>
      <c r="N2063" s="1478">
        <v>1.6105194641940574</v>
      </c>
      <c r="O2063" s="1478"/>
    </row>
    <row r="2064" spans="11:15">
      <c r="K2064" s="1475">
        <v>44121</v>
      </c>
      <c r="L2064" s="1476"/>
      <c r="M2064" s="1477">
        <v>0</v>
      </c>
      <c r="N2064" s="1478">
        <v>1.6105194641940574</v>
      </c>
      <c r="O2064" s="1478"/>
    </row>
    <row r="2065" spans="11:15">
      <c r="K2065" s="1475">
        <v>44122</v>
      </c>
      <c r="L2065" s="1476"/>
      <c r="M2065" s="1477">
        <v>0</v>
      </c>
      <c r="N2065" s="1478">
        <v>1.6105194641940574</v>
      </c>
      <c r="O2065" s="1478"/>
    </row>
    <row r="2066" spans="11:15">
      <c r="K2066" s="1475">
        <v>44123</v>
      </c>
      <c r="L2066" s="1476" t="s">
        <v>2127</v>
      </c>
      <c r="M2066" s="1477">
        <v>7.4689999999999999E-3</v>
      </c>
      <c r="N2066" s="1478">
        <v>1.6106397538928381</v>
      </c>
      <c r="O2066" s="1478"/>
    </row>
    <row r="2067" spans="11:15">
      <c r="K2067" s="1475">
        <v>44124</v>
      </c>
      <c r="L2067" s="1476" t="s">
        <v>2127</v>
      </c>
      <c r="M2067" s="1477">
        <v>7.4689999999999999E-3</v>
      </c>
      <c r="N2067" s="1478">
        <v>1.6107600525760561</v>
      </c>
      <c r="O2067" s="1478"/>
    </row>
    <row r="2068" spans="11:15">
      <c r="K2068" s="1475">
        <v>44125</v>
      </c>
      <c r="L2068" s="1476" t="s">
        <v>2127</v>
      </c>
      <c r="M2068" s="1477">
        <v>7.4689999999999999E-3</v>
      </c>
      <c r="N2068" s="1478">
        <v>1.6108803602443829</v>
      </c>
      <c r="O2068" s="1478"/>
    </row>
    <row r="2069" spans="11:15">
      <c r="K2069" s="1475">
        <v>44126</v>
      </c>
      <c r="L2069" s="1476" t="s">
        <v>2127</v>
      </c>
      <c r="M2069" s="1477">
        <v>7.4689999999999999E-3</v>
      </c>
      <c r="N2069" s="1478">
        <v>1.6110006768984895</v>
      </c>
      <c r="O2069" s="1478"/>
    </row>
    <row r="2070" spans="11:15">
      <c r="K2070" s="1475">
        <v>44127</v>
      </c>
      <c r="L2070" s="1476" t="s">
        <v>2127</v>
      </c>
      <c r="M2070" s="1477">
        <v>7.4689999999999999E-3</v>
      </c>
      <c r="N2070" s="1478">
        <v>1.611121002539047</v>
      </c>
      <c r="O2070" s="1478"/>
    </row>
    <row r="2071" spans="11:15">
      <c r="K2071" s="1475">
        <v>44128</v>
      </c>
      <c r="L2071" s="1476"/>
      <c r="M2071" s="1477">
        <v>0</v>
      </c>
      <c r="N2071" s="1478">
        <v>1.611121002539047</v>
      </c>
      <c r="O2071" s="1478"/>
    </row>
    <row r="2072" spans="11:15">
      <c r="K2072" s="1475">
        <v>44129</v>
      </c>
      <c r="L2072" s="1476"/>
      <c r="M2072" s="1477">
        <v>0</v>
      </c>
      <c r="N2072" s="1478">
        <v>1.611121002539047</v>
      </c>
      <c r="O2072" s="1478"/>
    </row>
    <row r="2073" spans="11:15">
      <c r="K2073" s="1475">
        <v>44130</v>
      </c>
      <c r="L2073" s="1476" t="s">
        <v>2127</v>
      </c>
      <c r="M2073" s="1477">
        <v>7.4689999999999999E-3</v>
      </c>
      <c r="N2073" s="1478">
        <v>1.6112413371667265</v>
      </c>
      <c r="O2073" s="1478"/>
    </row>
    <row r="2074" spans="11:15">
      <c r="K2074" s="1475">
        <v>44131</v>
      </c>
      <c r="L2074" s="1476" t="s">
        <v>2127</v>
      </c>
      <c r="M2074" s="1477">
        <v>7.4689999999999999E-3</v>
      </c>
      <c r="N2074" s="1478">
        <v>1.6113616807821993</v>
      </c>
      <c r="O2074" s="1478"/>
    </row>
    <row r="2075" spans="11:15">
      <c r="K2075" s="1475">
        <v>44132</v>
      </c>
      <c r="L2075" s="1476" t="s">
        <v>2127</v>
      </c>
      <c r="M2075" s="1477">
        <v>7.4689999999999999E-3</v>
      </c>
      <c r="N2075" s="1478">
        <v>1.6114820333861368</v>
      </c>
      <c r="O2075" s="1478"/>
    </row>
    <row r="2076" spans="11:15">
      <c r="K2076" s="1475">
        <v>44133</v>
      </c>
      <c r="L2076" s="1476" t="s">
        <v>2127</v>
      </c>
      <c r="M2076" s="1477">
        <v>7.4689999999999999E-3</v>
      </c>
      <c r="N2076" s="1478">
        <v>1.6116023949792104</v>
      </c>
      <c r="O2076" s="1478"/>
    </row>
    <row r="2077" spans="11:15">
      <c r="K2077" s="1475">
        <v>44134</v>
      </c>
      <c r="L2077" s="1476" t="s">
        <v>2127</v>
      </c>
      <c r="M2077" s="1477">
        <v>7.4689999999999999E-3</v>
      </c>
      <c r="N2077" s="1478">
        <v>1.6117227655620914</v>
      </c>
      <c r="O2077" s="1478"/>
    </row>
    <row r="2078" spans="11:15">
      <c r="K2078" s="1475">
        <v>44135</v>
      </c>
      <c r="L2078" s="1476"/>
      <c r="M2078" s="1477">
        <v>0</v>
      </c>
      <c r="N2078" s="1478">
        <v>1.6117227655620914</v>
      </c>
      <c r="O2078" s="1478"/>
    </row>
    <row r="2079" spans="11:15">
      <c r="K2079" s="1475">
        <v>44136</v>
      </c>
      <c r="L2079" s="1476"/>
      <c r="M2079" s="1477">
        <v>0</v>
      </c>
      <c r="N2079" s="1478">
        <v>1.6117227655620914</v>
      </c>
      <c r="O2079" s="1478"/>
    </row>
    <row r="2080" spans="11:15">
      <c r="K2080" s="1475">
        <v>44137</v>
      </c>
      <c r="L2080" s="1476"/>
      <c r="M2080" s="1477">
        <v>0</v>
      </c>
      <c r="N2080" s="1478">
        <v>1.6117227655620914</v>
      </c>
      <c r="O2080" s="1478"/>
    </row>
    <row r="2081" spans="11:15">
      <c r="K2081" s="1475">
        <v>44138</v>
      </c>
      <c r="L2081" s="1476" t="s">
        <v>2127</v>
      </c>
      <c r="M2081" s="1477">
        <v>7.4689999999999999E-3</v>
      </c>
      <c r="N2081" s="1478">
        <v>1.6118431451354511</v>
      </c>
      <c r="O2081" s="1478"/>
    </row>
    <row r="2082" spans="11:15">
      <c r="K2082" s="1475">
        <v>44139</v>
      </c>
      <c r="L2082" s="1476" t="s">
        <v>2127</v>
      </c>
      <c r="M2082" s="1477">
        <v>7.4689999999999999E-3</v>
      </c>
      <c r="N2082" s="1478">
        <v>1.6119635336999611</v>
      </c>
      <c r="O2082" s="1478"/>
    </row>
    <row r="2083" spans="11:15">
      <c r="K2083" s="1475">
        <v>44140</v>
      </c>
      <c r="L2083" s="1476" t="s">
        <v>2127</v>
      </c>
      <c r="M2083" s="1477">
        <v>7.4689999999999999E-3</v>
      </c>
      <c r="N2083" s="1478">
        <v>1.6120839312562931</v>
      </c>
      <c r="O2083" s="1478"/>
    </row>
    <row r="2084" spans="11:15">
      <c r="K2084" s="1475">
        <v>44141</v>
      </c>
      <c r="L2084" s="1476" t="s">
        <v>2127</v>
      </c>
      <c r="M2084" s="1477">
        <v>7.4689999999999999E-3</v>
      </c>
      <c r="N2084" s="1478">
        <v>1.6122043378051185</v>
      </c>
      <c r="O2084" s="1478"/>
    </row>
    <row r="2085" spans="11:15">
      <c r="K2085" s="1475">
        <v>44142</v>
      </c>
      <c r="L2085" s="1476"/>
      <c r="M2085" s="1477">
        <v>0</v>
      </c>
      <c r="N2085" s="1478">
        <v>1.6122043378051185</v>
      </c>
      <c r="O2085" s="1478"/>
    </row>
    <row r="2086" spans="11:15">
      <c r="K2086" s="1475">
        <v>44143</v>
      </c>
      <c r="L2086" s="1476"/>
      <c r="M2086" s="1477">
        <v>0</v>
      </c>
      <c r="N2086" s="1478">
        <v>1.6122043378051185</v>
      </c>
      <c r="O2086" s="1478"/>
    </row>
    <row r="2087" spans="11:15">
      <c r="K2087" s="1475">
        <v>44144</v>
      </c>
      <c r="L2087" s="1476" t="s">
        <v>2127</v>
      </c>
      <c r="M2087" s="1477">
        <v>7.4689999999999999E-3</v>
      </c>
      <c r="N2087" s="1478">
        <v>1.612324753347109</v>
      </c>
      <c r="O2087" s="1478"/>
    </row>
    <row r="2088" spans="11:15">
      <c r="K2088" s="1475">
        <v>44145</v>
      </c>
      <c r="L2088" s="1476" t="s">
        <v>2127</v>
      </c>
      <c r="M2088" s="1477">
        <v>7.4689999999999999E-3</v>
      </c>
      <c r="N2088" s="1478">
        <v>1.6124451778829363</v>
      </c>
      <c r="O2088" s="1478"/>
    </row>
    <row r="2089" spans="11:15">
      <c r="K2089" s="1475">
        <v>44146</v>
      </c>
      <c r="L2089" s="1476" t="s">
        <v>2127</v>
      </c>
      <c r="M2089" s="1477">
        <v>7.4689999999999999E-3</v>
      </c>
      <c r="N2089" s="1478">
        <v>1.6125656114132723</v>
      </c>
      <c r="O2089" s="1478"/>
    </row>
    <row r="2090" spans="11:15">
      <c r="K2090" s="1475">
        <v>44147</v>
      </c>
      <c r="L2090" s="1476" t="s">
        <v>2127</v>
      </c>
      <c r="M2090" s="1477">
        <v>7.4689999999999999E-3</v>
      </c>
      <c r="N2090" s="1478">
        <v>1.6126860539387886</v>
      </c>
      <c r="O2090" s="1478"/>
    </row>
    <row r="2091" spans="11:15">
      <c r="K2091" s="1475">
        <v>44148</v>
      </c>
      <c r="L2091" s="1476" t="s">
        <v>2127</v>
      </c>
      <c r="M2091" s="1477">
        <v>7.4689999999999999E-3</v>
      </c>
      <c r="N2091" s="1478">
        <v>1.6128065054601572</v>
      </c>
      <c r="O2091" s="1478"/>
    </row>
    <row r="2092" spans="11:15">
      <c r="K2092" s="1475">
        <v>44149</v>
      </c>
      <c r="L2092" s="1476"/>
      <c r="M2092" s="1477">
        <v>0</v>
      </c>
      <c r="N2092" s="1478">
        <v>1.6128065054601572</v>
      </c>
      <c r="O2092" s="1478"/>
    </row>
    <row r="2093" spans="11:15">
      <c r="K2093" s="1475">
        <v>44150</v>
      </c>
      <c r="L2093" s="1476"/>
      <c r="M2093" s="1477">
        <v>0</v>
      </c>
      <c r="N2093" s="1478">
        <v>1.6128065054601572</v>
      </c>
      <c r="O2093" s="1478"/>
    </row>
    <row r="2094" spans="11:15">
      <c r="K2094" s="1475">
        <v>44151</v>
      </c>
      <c r="L2094" s="1476" t="s">
        <v>2127</v>
      </c>
      <c r="M2094" s="1477">
        <v>7.4689999999999999E-3</v>
      </c>
      <c r="N2094" s="1478">
        <v>1.6129269659780499</v>
      </c>
      <c r="O2094" s="1478"/>
    </row>
    <row r="2095" spans="11:15">
      <c r="K2095" s="1475">
        <v>44152</v>
      </c>
      <c r="L2095" s="1476" t="s">
        <v>2127</v>
      </c>
      <c r="M2095" s="1477">
        <v>7.4689999999999999E-3</v>
      </c>
      <c r="N2095" s="1478">
        <v>1.6130474354931386</v>
      </c>
      <c r="O2095" s="1478"/>
    </row>
    <row r="2096" spans="11:15">
      <c r="K2096" s="1475">
        <v>44153</v>
      </c>
      <c r="L2096" s="1476" t="s">
        <v>2127</v>
      </c>
      <c r="M2096" s="1477">
        <v>7.4689999999999999E-3</v>
      </c>
      <c r="N2096" s="1478">
        <v>1.6131679140060955</v>
      </c>
      <c r="O2096" s="1478"/>
    </row>
    <row r="2097" spans="11:15">
      <c r="K2097" s="1475">
        <v>44154</v>
      </c>
      <c r="L2097" s="1476" t="s">
        <v>2127</v>
      </c>
      <c r="M2097" s="1477">
        <v>7.4689999999999999E-3</v>
      </c>
      <c r="N2097" s="1478">
        <v>1.6132884015175926</v>
      </c>
      <c r="O2097" s="1478"/>
    </row>
    <row r="2098" spans="11:15">
      <c r="K2098" s="1475">
        <v>44155</v>
      </c>
      <c r="L2098" s="1476" t="s">
        <v>2127</v>
      </c>
      <c r="M2098" s="1477">
        <v>7.4689999999999999E-3</v>
      </c>
      <c r="N2098" s="1478">
        <v>1.6134088980283019</v>
      </c>
      <c r="O2098" s="1478"/>
    </row>
    <row r="2099" spans="11:15">
      <c r="K2099" s="1475">
        <v>44156</v>
      </c>
      <c r="L2099" s="1476"/>
      <c r="M2099" s="1477">
        <v>0</v>
      </c>
      <c r="N2099" s="1478">
        <v>1.6134088980283019</v>
      </c>
      <c r="O2099" s="1478"/>
    </row>
    <row r="2100" spans="11:15">
      <c r="K2100" s="1475">
        <v>44157</v>
      </c>
      <c r="L2100" s="1476"/>
      <c r="M2100" s="1477">
        <v>0</v>
      </c>
      <c r="N2100" s="1478">
        <v>1.6134088980283019</v>
      </c>
      <c r="O2100" s="1478"/>
    </row>
    <row r="2101" spans="11:15">
      <c r="K2101" s="1475">
        <v>44158</v>
      </c>
      <c r="L2101" s="1476" t="s">
        <v>2127</v>
      </c>
      <c r="M2101" s="1477">
        <v>7.4689999999999999E-3</v>
      </c>
      <c r="N2101" s="1478">
        <v>1.6135294035388956</v>
      </c>
      <c r="O2101" s="1478"/>
    </row>
    <row r="2102" spans="11:15">
      <c r="K2102" s="1475">
        <v>44159</v>
      </c>
      <c r="L2102" s="1476" t="s">
        <v>2127</v>
      </c>
      <c r="M2102" s="1477">
        <v>7.4689999999999999E-3</v>
      </c>
      <c r="N2102" s="1478">
        <v>1.6136499180500459</v>
      </c>
      <c r="O2102" s="1478"/>
    </row>
    <row r="2103" spans="11:15">
      <c r="K2103" s="1475">
        <v>44160</v>
      </c>
      <c r="L2103" s="1476" t="s">
        <v>2127</v>
      </c>
      <c r="M2103" s="1477">
        <v>7.4689999999999999E-3</v>
      </c>
      <c r="N2103" s="1478">
        <v>1.613770441562425</v>
      </c>
      <c r="O2103" s="1478"/>
    </row>
    <row r="2104" spans="11:15">
      <c r="K2104" s="1475">
        <v>44161</v>
      </c>
      <c r="L2104" s="1476" t="s">
        <v>2127</v>
      </c>
      <c r="M2104" s="1477">
        <v>7.4689999999999999E-3</v>
      </c>
      <c r="N2104" s="1478">
        <v>1.6138909740767051</v>
      </c>
      <c r="O2104" s="1478"/>
    </row>
    <row r="2105" spans="11:15">
      <c r="K2105" s="1475">
        <v>44162</v>
      </c>
      <c r="L2105" s="1476" t="s">
        <v>2127</v>
      </c>
      <c r="M2105" s="1477">
        <v>7.4689999999999999E-3</v>
      </c>
      <c r="N2105" s="1478">
        <v>1.6140115155935588</v>
      </c>
      <c r="O2105" s="1478"/>
    </row>
    <row r="2106" spans="11:15">
      <c r="K2106" s="1475">
        <v>44163</v>
      </c>
      <c r="L2106" s="1476"/>
      <c r="M2106" s="1477">
        <v>0</v>
      </c>
      <c r="N2106" s="1478">
        <v>1.6140115155935588</v>
      </c>
      <c r="O2106" s="1478"/>
    </row>
    <row r="2107" spans="11:15">
      <c r="K2107" s="1475">
        <v>44164</v>
      </c>
      <c r="L2107" s="1476"/>
      <c r="M2107" s="1477">
        <v>0</v>
      </c>
      <c r="N2107" s="1478">
        <v>1.6140115155935588</v>
      </c>
      <c r="O2107" s="1478"/>
    </row>
    <row r="2108" spans="11:15">
      <c r="K2108" s="1475">
        <v>44165</v>
      </c>
      <c r="L2108" s="1476" t="s">
        <v>2127</v>
      </c>
      <c r="M2108" s="1477">
        <v>7.4689999999999999E-3</v>
      </c>
      <c r="N2108" s="1478">
        <v>1.6141320661136584</v>
      </c>
      <c r="O2108" s="1478"/>
    </row>
    <row r="2109" spans="11:15">
      <c r="K2109" s="1475">
        <v>44166</v>
      </c>
      <c r="L2109" s="1476" t="s">
        <v>2127</v>
      </c>
      <c r="M2109" s="1477">
        <v>7.4689999999999999E-3</v>
      </c>
      <c r="N2109" s="1478">
        <v>1.6142526256376764</v>
      </c>
      <c r="O2109" s="1478"/>
    </row>
    <row r="2110" spans="11:15">
      <c r="K2110" s="1475">
        <v>44167</v>
      </c>
      <c r="L2110" s="1476" t="s">
        <v>2127</v>
      </c>
      <c r="M2110" s="1477">
        <v>7.4689999999999999E-3</v>
      </c>
      <c r="N2110" s="1478">
        <v>1.6143731941662851</v>
      </c>
      <c r="O2110" s="1478"/>
    </row>
    <row r="2111" spans="11:15">
      <c r="K2111" s="1475">
        <v>44168</v>
      </c>
      <c r="L2111" s="1476" t="s">
        <v>2127</v>
      </c>
      <c r="M2111" s="1477">
        <v>7.4689999999999999E-3</v>
      </c>
      <c r="N2111" s="1478">
        <v>1.6144937717001573</v>
      </c>
      <c r="O2111" s="1478"/>
    </row>
    <row r="2112" spans="11:15">
      <c r="K2112" s="1475">
        <v>44169</v>
      </c>
      <c r="L2112" s="1476" t="s">
        <v>2127</v>
      </c>
      <c r="M2112" s="1477">
        <v>7.4689999999999999E-3</v>
      </c>
      <c r="N2112" s="1478">
        <v>1.6146143582399655</v>
      </c>
      <c r="O2112" s="1478"/>
    </row>
    <row r="2113" spans="11:15">
      <c r="K2113" s="1475">
        <v>44170</v>
      </c>
      <c r="L2113" s="1476"/>
      <c r="M2113" s="1477">
        <v>0</v>
      </c>
      <c r="N2113" s="1478">
        <v>1.6146143582399655</v>
      </c>
      <c r="O2113" s="1478"/>
    </row>
    <row r="2114" spans="11:15">
      <c r="K2114" s="1475">
        <v>44171</v>
      </c>
      <c r="L2114" s="1476"/>
      <c r="M2114" s="1477">
        <v>0</v>
      </c>
      <c r="N2114" s="1478">
        <v>1.6146143582399655</v>
      </c>
      <c r="O2114" s="1478"/>
    </row>
    <row r="2115" spans="11:15">
      <c r="K2115" s="1475">
        <v>44172</v>
      </c>
      <c r="L2115" s="1476" t="s">
        <v>2127</v>
      </c>
      <c r="M2115" s="1477">
        <v>7.4689999999999999E-3</v>
      </c>
      <c r="N2115" s="1478">
        <v>1.6147349537863822</v>
      </c>
      <c r="O2115" s="1478"/>
    </row>
    <row r="2116" spans="11:15">
      <c r="K2116" s="1475">
        <v>44173</v>
      </c>
      <c r="L2116" s="1476" t="s">
        <v>2127</v>
      </c>
      <c r="M2116" s="1477">
        <v>7.4689999999999999E-3</v>
      </c>
      <c r="N2116" s="1478">
        <v>1.6148555583400803</v>
      </c>
      <c r="O2116" s="1478"/>
    </row>
    <row r="2117" spans="11:15">
      <c r="K2117" s="1475">
        <v>44174</v>
      </c>
      <c r="L2117" s="1476" t="s">
        <v>2127</v>
      </c>
      <c r="M2117" s="1477">
        <v>7.4689999999999999E-3</v>
      </c>
      <c r="N2117" s="1478">
        <v>1.6149761719017326</v>
      </c>
      <c r="O2117" s="1478"/>
    </row>
    <row r="2118" spans="11:15">
      <c r="K2118" s="1475">
        <v>44175</v>
      </c>
      <c r="L2118" s="1476" t="s">
        <v>2127</v>
      </c>
      <c r="M2118" s="1477">
        <v>7.4689999999999999E-3</v>
      </c>
      <c r="N2118" s="1478">
        <v>1.6150967944720118</v>
      </c>
      <c r="O2118" s="1478"/>
    </row>
    <row r="2119" spans="11:15">
      <c r="K2119" s="1475">
        <v>44176</v>
      </c>
      <c r="L2119" s="1476" t="s">
        <v>2127</v>
      </c>
      <c r="M2119" s="1477">
        <v>7.4689999999999999E-3</v>
      </c>
      <c r="N2119" s="1478">
        <v>1.6152174260515908</v>
      </c>
      <c r="O2119" s="1478"/>
    </row>
    <row r="2120" spans="11:15">
      <c r="K2120" s="1475">
        <v>44177</v>
      </c>
      <c r="L2120" s="1476"/>
      <c r="M2120" s="1477">
        <v>0</v>
      </c>
      <c r="N2120" s="1478">
        <v>1.6152174260515908</v>
      </c>
      <c r="O2120" s="1478"/>
    </row>
    <row r="2121" spans="11:15">
      <c r="K2121" s="1475">
        <v>44178</v>
      </c>
      <c r="L2121" s="1476"/>
      <c r="M2121" s="1477">
        <v>0</v>
      </c>
      <c r="N2121" s="1478">
        <v>1.6152174260515908</v>
      </c>
      <c r="O2121" s="1478"/>
    </row>
    <row r="2122" spans="11:15">
      <c r="K2122" s="1475">
        <v>44179</v>
      </c>
      <c r="L2122" s="1476" t="s">
        <v>2127</v>
      </c>
      <c r="M2122" s="1477">
        <v>7.4689999999999999E-3</v>
      </c>
      <c r="N2122" s="1478">
        <v>1.6153380666411425</v>
      </c>
      <c r="O2122" s="1478"/>
    </row>
    <row r="2123" spans="11:15">
      <c r="K2123" s="1475">
        <v>44180</v>
      </c>
      <c r="L2123" s="1476" t="s">
        <v>2127</v>
      </c>
      <c r="M2123" s="1477">
        <v>7.4689999999999999E-3</v>
      </c>
      <c r="N2123" s="1478">
        <v>1.6154587162413399</v>
      </c>
      <c r="O2123" s="1478"/>
    </row>
    <row r="2124" spans="11:15">
      <c r="K2124" s="1475">
        <v>44181</v>
      </c>
      <c r="L2124" s="1476" t="s">
        <v>2127</v>
      </c>
      <c r="M2124" s="1477">
        <v>7.4689999999999999E-3</v>
      </c>
      <c r="N2124" s="1478">
        <v>1.6155793748528557</v>
      </c>
      <c r="O2124" s="1478"/>
    </row>
    <row r="2125" spans="11:15">
      <c r="K2125" s="1475">
        <v>44182</v>
      </c>
      <c r="L2125" s="1476" t="s">
        <v>2127</v>
      </c>
      <c r="M2125" s="1477">
        <v>7.4689999999999999E-3</v>
      </c>
      <c r="N2125" s="1478">
        <v>1.6157000424763635</v>
      </c>
      <c r="O2125" s="1478"/>
    </row>
    <row r="2126" spans="11:15">
      <c r="K2126" s="1475">
        <v>44183</v>
      </c>
      <c r="L2126" s="1476" t="s">
        <v>2127</v>
      </c>
      <c r="M2126" s="1477">
        <v>7.4689999999999999E-3</v>
      </c>
      <c r="N2126" s="1478">
        <v>1.615820719112536</v>
      </c>
      <c r="O2126" s="1478"/>
    </row>
    <row r="2127" spans="11:15">
      <c r="K2127" s="1475">
        <v>44184</v>
      </c>
      <c r="L2127" s="1476"/>
      <c r="M2127" s="1477">
        <v>0</v>
      </c>
      <c r="N2127" s="1478">
        <v>1.615820719112536</v>
      </c>
      <c r="O2127" s="1478"/>
    </row>
    <row r="2128" spans="11:15">
      <c r="K2128" s="1475">
        <v>44185</v>
      </c>
      <c r="L2128" s="1476"/>
      <c r="M2128" s="1477">
        <v>0</v>
      </c>
      <c r="N2128" s="1478">
        <v>1.615820719112536</v>
      </c>
      <c r="O2128" s="1478"/>
    </row>
    <row r="2129" spans="11:15">
      <c r="K2129" s="1475">
        <v>44186</v>
      </c>
      <c r="L2129" s="1476" t="s">
        <v>2127</v>
      </c>
      <c r="M2129" s="1477">
        <v>7.4689999999999999E-3</v>
      </c>
      <c r="N2129" s="1478">
        <v>1.6159414047620464</v>
      </c>
      <c r="O2129" s="1478"/>
    </row>
    <row r="2130" spans="11:15">
      <c r="K2130" s="1475">
        <v>44187</v>
      </c>
      <c r="L2130" s="1476" t="s">
        <v>2127</v>
      </c>
      <c r="M2130" s="1477">
        <v>7.4689999999999999E-3</v>
      </c>
      <c r="N2130" s="1478">
        <v>1.6160620994255679</v>
      </c>
      <c r="O2130" s="1478"/>
    </row>
    <row r="2131" spans="11:15">
      <c r="K2131" s="1475">
        <v>44188</v>
      </c>
      <c r="L2131" s="1476" t="s">
        <v>2127</v>
      </c>
      <c r="M2131" s="1477">
        <v>7.4689999999999999E-3</v>
      </c>
      <c r="N2131" s="1478">
        <v>1.6161828031037739</v>
      </c>
      <c r="O2131" s="1478"/>
    </row>
    <row r="2132" spans="11:15">
      <c r="K2132" s="1475">
        <v>44189</v>
      </c>
      <c r="L2132" s="1476" t="s">
        <v>2127</v>
      </c>
      <c r="M2132" s="1477">
        <v>7.4689999999999999E-3</v>
      </c>
      <c r="N2132" s="1478">
        <v>1.6163035157973376</v>
      </c>
      <c r="O2132" s="1478"/>
    </row>
    <row r="2133" spans="11:15">
      <c r="K2133" s="1475">
        <v>44190</v>
      </c>
      <c r="L2133" s="1476"/>
      <c r="M2133" s="1477">
        <v>0</v>
      </c>
      <c r="N2133" s="1478">
        <v>1.6163035157973376</v>
      </c>
      <c r="O2133" s="1478"/>
    </row>
    <row r="2134" spans="11:15">
      <c r="K2134" s="1475">
        <v>44191</v>
      </c>
      <c r="L2134" s="1476"/>
      <c r="M2134" s="1477">
        <v>0</v>
      </c>
      <c r="N2134" s="1478">
        <v>1.6163035157973376</v>
      </c>
      <c r="O2134" s="1478"/>
    </row>
    <row r="2135" spans="11:15">
      <c r="K2135" s="1475">
        <v>44192</v>
      </c>
      <c r="L2135" s="1476"/>
      <c r="M2135" s="1477">
        <v>0</v>
      </c>
      <c r="N2135" s="1478">
        <v>1.6163035157973376</v>
      </c>
      <c r="O2135" s="1478"/>
    </row>
    <row r="2136" spans="11:15">
      <c r="K2136" s="1475">
        <v>44193</v>
      </c>
      <c r="L2136" s="1476" t="s">
        <v>2127</v>
      </c>
      <c r="M2136" s="1477">
        <v>7.4689999999999999E-3</v>
      </c>
      <c r="N2136" s="1478">
        <v>1.6164242375069324</v>
      </c>
      <c r="O2136" s="1478"/>
    </row>
    <row r="2137" spans="11:15">
      <c r="K2137" s="1475">
        <v>44194</v>
      </c>
      <c r="L2137" s="1476" t="s">
        <v>2127</v>
      </c>
      <c r="M2137" s="1477">
        <v>7.4689999999999999E-3</v>
      </c>
      <c r="N2137" s="1478">
        <v>1.6165449682332318</v>
      </c>
      <c r="O2137" s="1478"/>
    </row>
    <row r="2138" spans="11:15">
      <c r="K2138" s="1475">
        <v>44195</v>
      </c>
      <c r="L2138" s="1476" t="s">
        <v>2127</v>
      </c>
      <c r="M2138" s="1477">
        <v>7.4689999999999999E-3</v>
      </c>
      <c r="N2138" s="1478">
        <v>1.6166657079769091</v>
      </c>
      <c r="O2138" s="1478"/>
    </row>
    <row r="2139" spans="11:15">
      <c r="K2139" s="1475">
        <v>44196</v>
      </c>
      <c r="L2139" s="1476" t="s">
        <v>2127</v>
      </c>
      <c r="M2139" s="1477">
        <v>7.4689999999999999E-3</v>
      </c>
      <c r="N2139" s="1478">
        <v>1.6167864567386379</v>
      </c>
      <c r="O2139" s="1478"/>
    </row>
    <row r="2140" spans="11:15">
      <c r="K2140" s="1475">
        <v>44197</v>
      </c>
      <c r="L2140" s="1476"/>
      <c r="M2140" s="1477">
        <v>0</v>
      </c>
      <c r="N2140" s="1478">
        <v>1.6167864567386379</v>
      </c>
      <c r="O2140" s="1478"/>
    </row>
    <row r="2141" spans="11:15">
      <c r="K2141" s="1475">
        <v>44198</v>
      </c>
      <c r="L2141" s="1476"/>
      <c r="M2141" s="1477">
        <v>0</v>
      </c>
      <c r="N2141" s="1478">
        <v>1.6167864567386379</v>
      </c>
      <c r="O2141" s="1478"/>
    </row>
    <row r="2142" spans="11:15">
      <c r="K2142" s="1475">
        <v>44199</v>
      </c>
      <c r="L2142" s="1476"/>
      <c r="M2142" s="1477">
        <v>0</v>
      </c>
      <c r="N2142" s="1478">
        <v>1.6167864567386379</v>
      </c>
      <c r="O2142" s="1478"/>
    </row>
    <row r="2143" spans="11:15">
      <c r="K2143" s="1475">
        <v>44200</v>
      </c>
      <c r="L2143" s="1476" t="s">
        <v>2127</v>
      </c>
      <c r="M2143" s="1477">
        <v>7.4689999999999999E-3</v>
      </c>
      <c r="N2143" s="1478">
        <v>1.6169072145190915</v>
      </c>
      <c r="O2143" s="1478"/>
    </row>
    <row r="2144" spans="11:15">
      <c r="K2144" s="1475">
        <v>44201</v>
      </c>
      <c r="L2144" s="1476" t="s">
        <v>2127</v>
      </c>
      <c r="M2144" s="1477">
        <v>7.4689999999999999E-3</v>
      </c>
      <c r="N2144" s="1478">
        <v>1.6170279813189439</v>
      </c>
      <c r="O2144" s="1478"/>
    </row>
    <row r="2145" spans="11:15">
      <c r="K2145" s="1475">
        <v>44202</v>
      </c>
      <c r="L2145" s="1476" t="s">
        <v>2127</v>
      </c>
      <c r="M2145" s="1477">
        <v>7.4689999999999999E-3</v>
      </c>
      <c r="N2145" s="1478">
        <v>1.6171487571388685</v>
      </c>
      <c r="O2145" s="1478"/>
    </row>
    <row r="2146" spans="11:15">
      <c r="K2146" s="1475">
        <v>44203</v>
      </c>
      <c r="L2146" s="1476" t="s">
        <v>2127</v>
      </c>
      <c r="M2146" s="1477">
        <v>7.4689999999999999E-3</v>
      </c>
      <c r="N2146" s="1478">
        <v>1.6172695419795391</v>
      </c>
      <c r="O2146" s="1478"/>
    </row>
    <row r="2147" spans="11:15">
      <c r="K2147" s="1475">
        <v>44204</v>
      </c>
      <c r="L2147" s="1476" t="s">
        <v>2127</v>
      </c>
      <c r="M2147" s="1477">
        <v>7.4689999999999999E-3</v>
      </c>
      <c r="N2147" s="1478">
        <v>1.6173903358416295</v>
      </c>
      <c r="O2147" s="1478"/>
    </row>
    <row r="2148" spans="11:15">
      <c r="K2148" s="1475">
        <v>44205</v>
      </c>
      <c r="L2148" s="1476"/>
      <c r="M2148" s="1477">
        <v>0</v>
      </c>
      <c r="N2148" s="1478">
        <v>1.6173903358416295</v>
      </c>
      <c r="O2148" s="1478"/>
    </row>
    <row r="2149" spans="11:15">
      <c r="K2149" s="1475">
        <v>44206</v>
      </c>
      <c r="L2149" s="1476"/>
      <c r="M2149" s="1477">
        <v>0</v>
      </c>
      <c r="N2149" s="1478">
        <v>1.6173903358416295</v>
      </c>
      <c r="O2149" s="1478"/>
    </row>
    <row r="2150" spans="11:15">
      <c r="K2150" s="1475">
        <v>44207</v>
      </c>
      <c r="L2150" s="1476" t="s">
        <v>2127</v>
      </c>
      <c r="M2150" s="1477">
        <v>7.4689999999999999E-3</v>
      </c>
      <c r="N2150" s="1478">
        <v>1.6175111387258134</v>
      </c>
      <c r="O2150" s="1478"/>
    </row>
    <row r="2151" spans="11:15">
      <c r="K2151" s="1475">
        <v>44208</v>
      </c>
      <c r="L2151" s="1476" t="s">
        <v>2127</v>
      </c>
      <c r="M2151" s="1477">
        <v>7.4689999999999999E-3</v>
      </c>
      <c r="N2151" s="1478">
        <v>1.6176319506327648</v>
      </c>
      <c r="O2151" s="1478"/>
    </row>
    <row r="2152" spans="11:15">
      <c r="K2152" s="1475">
        <v>44209</v>
      </c>
      <c r="L2152" s="1476" t="s">
        <v>2127</v>
      </c>
      <c r="M2152" s="1477">
        <v>7.4689999999999999E-3</v>
      </c>
      <c r="N2152" s="1478">
        <v>1.6177527715631574</v>
      </c>
      <c r="O2152" s="1478"/>
    </row>
    <row r="2153" spans="11:15">
      <c r="K2153" s="1475">
        <v>44210</v>
      </c>
      <c r="L2153" s="1476" t="s">
        <v>2127</v>
      </c>
      <c r="M2153" s="1477">
        <v>7.4689999999999999E-3</v>
      </c>
      <c r="N2153" s="1478">
        <v>1.6178736015176653</v>
      </c>
      <c r="O2153" s="1478"/>
    </row>
    <row r="2154" spans="11:15">
      <c r="K2154" s="1475">
        <v>44211</v>
      </c>
      <c r="L2154" s="1476" t="s">
        <v>2127</v>
      </c>
      <c r="M2154" s="1477">
        <v>7.4689999999999999E-3</v>
      </c>
      <c r="N2154" s="1478">
        <v>1.6179944404969626</v>
      </c>
      <c r="O2154" s="1478"/>
    </row>
    <row r="2155" spans="11:15">
      <c r="K2155" s="1475">
        <v>44212</v>
      </c>
      <c r="L2155" s="1476"/>
      <c r="M2155" s="1477">
        <v>0</v>
      </c>
      <c r="N2155" s="1478">
        <v>1.6179944404969626</v>
      </c>
      <c r="O2155" s="1478"/>
    </row>
    <row r="2156" spans="11:15">
      <c r="K2156" s="1475">
        <v>44213</v>
      </c>
      <c r="L2156" s="1476"/>
      <c r="M2156" s="1477">
        <v>0</v>
      </c>
      <c r="N2156" s="1478">
        <v>1.6179944404969626</v>
      </c>
      <c r="O2156" s="1478"/>
    </row>
    <row r="2157" spans="11:15">
      <c r="K2157" s="1475">
        <v>44214</v>
      </c>
      <c r="L2157" s="1476" t="s">
        <v>2127</v>
      </c>
      <c r="M2157" s="1477">
        <v>7.4689999999999999E-3</v>
      </c>
      <c r="N2157" s="1478">
        <v>1.6181152885017231</v>
      </c>
      <c r="O2157" s="1478"/>
    </row>
    <row r="2158" spans="11:15">
      <c r="K2158" s="1475">
        <v>44215</v>
      </c>
      <c r="L2158" s="1476" t="s">
        <v>2127</v>
      </c>
      <c r="M2158" s="1477">
        <v>7.4689999999999999E-3</v>
      </c>
      <c r="N2158" s="1478">
        <v>1.6182361455326213</v>
      </c>
      <c r="O2158" s="1478"/>
    </row>
    <row r="2159" spans="11:15">
      <c r="K2159" s="1475">
        <v>44216</v>
      </c>
      <c r="L2159" s="1476" t="s">
        <v>2127</v>
      </c>
      <c r="M2159" s="1477">
        <v>7.4689999999999999E-3</v>
      </c>
      <c r="N2159" s="1478">
        <v>1.618357011590331</v>
      </c>
      <c r="O2159" s="1478"/>
    </row>
    <row r="2160" spans="11:15">
      <c r="K2160" s="1475">
        <v>44217</v>
      </c>
      <c r="L2160" s="1476" t="s">
        <v>2127</v>
      </c>
      <c r="M2160" s="1477">
        <v>7.4689999999999999E-3</v>
      </c>
      <c r="N2160" s="1478">
        <v>1.6184778866755265</v>
      </c>
      <c r="O2160" s="1478"/>
    </row>
    <row r="2161" spans="11:15">
      <c r="K2161" s="1475">
        <v>44218</v>
      </c>
      <c r="L2161" s="1476" t="s">
        <v>2127</v>
      </c>
      <c r="M2161" s="1477">
        <v>7.4689999999999999E-3</v>
      </c>
      <c r="N2161" s="1478">
        <v>1.6185987707888823</v>
      </c>
      <c r="O2161" s="1478"/>
    </row>
    <row r="2162" spans="11:15">
      <c r="K2162" s="1475">
        <v>44219</v>
      </c>
      <c r="L2162" s="1476"/>
      <c r="M2162" s="1477">
        <v>0</v>
      </c>
      <c r="N2162" s="1478">
        <v>1.6185987707888823</v>
      </c>
      <c r="O2162" s="1478"/>
    </row>
    <row r="2163" spans="11:15">
      <c r="K2163" s="1475">
        <v>44220</v>
      </c>
      <c r="L2163" s="1476"/>
      <c r="M2163" s="1477">
        <v>0</v>
      </c>
      <c r="N2163" s="1478">
        <v>1.6185987707888823</v>
      </c>
      <c r="O2163" s="1478"/>
    </row>
    <row r="2164" spans="11:15">
      <c r="K2164" s="1475">
        <v>44221</v>
      </c>
      <c r="L2164" s="1476" t="s">
        <v>2127</v>
      </c>
      <c r="M2164" s="1477">
        <v>7.4689999999999999E-3</v>
      </c>
      <c r="N2164" s="1478">
        <v>1.6187196639310724</v>
      </c>
      <c r="O2164" s="1478"/>
    </row>
    <row r="2165" spans="11:15">
      <c r="K2165" s="1475">
        <v>44222</v>
      </c>
      <c r="L2165" s="1476" t="s">
        <v>2127</v>
      </c>
      <c r="M2165" s="1477">
        <v>7.4689999999999999E-3</v>
      </c>
      <c r="N2165" s="1478">
        <v>1.6188405661027712</v>
      </c>
      <c r="O2165" s="1478"/>
    </row>
    <row r="2166" spans="11:15">
      <c r="K2166" s="1475">
        <v>44223</v>
      </c>
      <c r="L2166" s="1476" t="s">
        <v>2127</v>
      </c>
      <c r="M2166" s="1477">
        <v>7.4689999999999999E-3</v>
      </c>
      <c r="N2166" s="1478">
        <v>1.6189614773046532</v>
      </c>
      <c r="O2166" s="1478"/>
    </row>
    <row r="2167" spans="11:15">
      <c r="K2167" s="1475">
        <v>44224</v>
      </c>
      <c r="L2167" s="1476" t="s">
        <v>2127</v>
      </c>
      <c r="M2167" s="1477">
        <v>7.4689999999999999E-3</v>
      </c>
      <c r="N2167" s="1478">
        <v>1.6190823975373929</v>
      </c>
      <c r="O2167" s="1478"/>
    </row>
    <row r="2168" spans="11:15">
      <c r="K2168" s="1475">
        <v>44225</v>
      </c>
      <c r="L2168" s="1476" t="s">
        <v>2127</v>
      </c>
      <c r="M2168" s="1477">
        <v>7.4689999999999999E-3</v>
      </c>
      <c r="N2168" s="1478">
        <v>1.6192033268016648</v>
      </c>
      <c r="O2168" s="1478"/>
    </row>
    <row r="2169" spans="11:15">
      <c r="K2169" s="1475">
        <v>44226</v>
      </c>
      <c r="L2169" s="1476"/>
      <c r="M2169" s="1477">
        <v>0</v>
      </c>
      <c r="N2169" s="1478">
        <v>1.6192033268016648</v>
      </c>
      <c r="O2169" s="1478"/>
    </row>
    <row r="2170" spans="11:15">
      <c r="K2170" s="1475">
        <v>44227</v>
      </c>
      <c r="L2170" s="1476"/>
      <c r="M2170" s="1477">
        <v>0</v>
      </c>
      <c r="N2170" s="1478">
        <v>1.6192033268016648</v>
      </c>
      <c r="O2170" s="1478"/>
    </row>
    <row r="2171" spans="11:15">
      <c r="K2171" s="1475">
        <v>44228</v>
      </c>
      <c r="L2171" s="1476" t="s">
        <v>2127</v>
      </c>
      <c r="M2171" s="1477">
        <v>7.4689999999999999E-3</v>
      </c>
      <c r="N2171" s="1478">
        <v>1.6193242650981434</v>
      </c>
      <c r="O2171" s="1478"/>
    </row>
    <row r="2172" spans="11:15">
      <c r="K2172" s="1475">
        <v>44229</v>
      </c>
      <c r="L2172" s="1476" t="s">
        <v>2127</v>
      </c>
      <c r="M2172" s="1477">
        <v>7.4689999999999999E-3</v>
      </c>
      <c r="N2172" s="1478">
        <v>1.6194452124275034</v>
      </c>
      <c r="O2172" s="1478"/>
    </row>
    <row r="2173" spans="11:15">
      <c r="K2173" s="1475">
        <v>44230</v>
      </c>
      <c r="L2173" s="1476" t="s">
        <v>2127</v>
      </c>
      <c r="M2173" s="1477">
        <v>7.4689999999999999E-3</v>
      </c>
      <c r="N2173" s="1478">
        <v>1.6195661687904195</v>
      </c>
      <c r="O2173" s="1478"/>
    </row>
    <row r="2174" spans="11:15">
      <c r="K2174" s="1475">
        <v>44231</v>
      </c>
      <c r="L2174" s="1476" t="s">
        <v>2127</v>
      </c>
      <c r="M2174" s="1477">
        <v>7.4689999999999999E-3</v>
      </c>
      <c r="N2174" s="1478">
        <v>1.6196871341875663</v>
      </c>
      <c r="O2174" s="1478"/>
    </row>
    <row r="2175" spans="11:15">
      <c r="K2175" s="1475">
        <v>44232</v>
      </c>
      <c r="L2175" s="1476" t="s">
        <v>2127</v>
      </c>
      <c r="M2175" s="1477">
        <v>7.4689999999999999E-3</v>
      </c>
      <c r="N2175" s="1478">
        <v>1.6198081086196185</v>
      </c>
      <c r="O2175" s="1478"/>
    </row>
    <row r="2176" spans="11:15">
      <c r="K2176" s="1475">
        <v>44233</v>
      </c>
      <c r="L2176" s="1476"/>
      <c r="M2176" s="1477">
        <v>0</v>
      </c>
      <c r="N2176" s="1478">
        <v>1.6198081086196185</v>
      </c>
      <c r="O2176" s="1478"/>
    </row>
    <row r="2177" spans="11:15">
      <c r="K2177" s="1475">
        <v>44234</v>
      </c>
      <c r="L2177" s="1476"/>
      <c r="M2177" s="1477">
        <v>0</v>
      </c>
      <c r="N2177" s="1478">
        <v>1.6198081086196185</v>
      </c>
      <c r="O2177" s="1478"/>
    </row>
    <row r="2178" spans="11:15">
      <c r="K2178" s="1475">
        <v>44235</v>
      </c>
      <c r="L2178" s="1476" t="s">
        <v>2127</v>
      </c>
      <c r="M2178" s="1477">
        <v>7.4689999999999999E-3</v>
      </c>
      <c r="N2178" s="1478">
        <v>1.6199290920872513</v>
      </c>
      <c r="O2178" s="1478"/>
    </row>
    <row r="2179" spans="11:15">
      <c r="K2179" s="1475">
        <v>44236</v>
      </c>
      <c r="L2179" s="1476" t="s">
        <v>2127</v>
      </c>
      <c r="M2179" s="1477">
        <v>7.4689999999999999E-3</v>
      </c>
      <c r="N2179" s="1478">
        <v>1.6200500845911392</v>
      </c>
      <c r="O2179" s="1478"/>
    </row>
    <row r="2180" spans="11:15">
      <c r="K2180" s="1475">
        <v>44237</v>
      </c>
      <c r="L2180" s="1476" t="s">
        <v>2127</v>
      </c>
      <c r="M2180" s="1477">
        <v>7.4689999999999999E-3</v>
      </c>
      <c r="N2180" s="1478">
        <v>1.6201710861319571</v>
      </c>
      <c r="O2180" s="1478"/>
    </row>
    <row r="2181" spans="11:15">
      <c r="K2181" s="1475">
        <v>44238</v>
      </c>
      <c r="L2181" s="1476" t="s">
        <v>2127</v>
      </c>
      <c r="M2181" s="1477">
        <v>7.4689999999999999E-3</v>
      </c>
      <c r="N2181" s="1478">
        <v>1.6202920967103802</v>
      </c>
      <c r="O2181" s="1478"/>
    </row>
    <row r="2182" spans="11:15">
      <c r="K2182" s="1475">
        <v>44239</v>
      </c>
      <c r="L2182" s="1476" t="s">
        <v>2127</v>
      </c>
      <c r="M2182" s="1477">
        <v>7.4689999999999999E-3</v>
      </c>
      <c r="N2182" s="1478">
        <v>1.6204131163270834</v>
      </c>
      <c r="O2182" s="1478"/>
    </row>
    <row r="2183" spans="11:15">
      <c r="K2183" s="1475">
        <v>44240</v>
      </c>
      <c r="L2183" s="1476"/>
      <c r="M2183" s="1477">
        <v>0</v>
      </c>
      <c r="N2183" s="1478">
        <v>1.6204131163270834</v>
      </c>
      <c r="O2183" s="1478"/>
    </row>
    <row r="2184" spans="11:15">
      <c r="K2184" s="1475">
        <v>44241</v>
      </c>
      <c r="L2184" s="1476"/>
      <c r="M2184" s="1477">
        <v>0</v>
      </c>
      <c r="N2184" s="1478">
        <v>1.6204131163270834</v>
      </c>
      <c r="O2184" s="1478"/>
    </row>
    <row r="2185" spans="11:15">
      <c r="K2185" s="1475">
        <v>44242</v>
      </c>
      <c r="L2185" s="1476"/>
      <c r="M2185" s="1477">
        <v>0</v>
      </c>
      <c r="N2185" s="1478">
        <v>1.6204131163270834</v>
      </c>
      <c r="O2185" s="1478"/>
    </row>
    <row r="2186" spans="11:15">
      <c r="K2186" s="1475">
        <v>44243</v>
      </c>
      <c r="L2186" s="1476"/>
      <c r="M2186" s="1477">
        <v>0</v>
      </c>
      <c r="N2186" s="1478">
        <v>1.6204131163270834</v>
      </c>
      <c r="O2186" s="1478"/>
    </row>
    <row r="2187" spans="11:15">
      <c r="K2187" s="1475">
        <v>44244</v>
      </c>
      <c r="L2187" s="1476" t="s">
        <v>2127</v>
      </c>
      <c r="M2187" s="1477">
        <v>7.4689999999999999E-3</v>
      </c>
      <c r="N2187" s="1478">
        <v>1.6205341449827417</v>
      </c>
      <c r="O2187" s="1478"/>
    </row>
    <row r="2188" spans="11:15">
      <c r="K2188" s="1475">
        <v>44245</v>
      </c>
      <c r="L2188" s="1476" t="s">
        <v>2127</v>
      </c>
      <c r="M2188" s="1477">
        <v>7.4689999999999999E-3</v>
      </c>
      <c r="N2188" s="1478">
        <v>1.6206551826780304</v>
      </c>
      <c r="O2188" s="1478"/>
    </row>
    <row r="2189" spans="11:15">
      <c r="K2189" s="1475">
        <v>44246</v>
      </c>
      <c r="L2189" s="1476" t="s">
        <v>2127</v>
      </c>
      <c r="M2189" s="1477">
        <v>7.4689999999999999E-3</v>
      </c>
      <c r="N2189" s="1478">
        <v>1.6207762294136245</v>
      </c>
      <c r="O2189" s="1478"/>
    </row>
    <row r="2190" spans="11:15">
      <c r="K2190" s="1475">
        <v>44247</v>
      </c>
      <c r="L2190" s="1476"/>
      <c r="M2190" s="1477">
        <v>0</v>
      </c>
      <c r="N2190" s="1478">
        <v>1.6207762294136245</v>
      </c>
      <c r="O2190" s="1478"/>
    </row>
    <row r="2191" spans="11:15">
      <c r="K2191" s="1475">
        <v>44248</v>
      </c>
      <c r="L2191" s="1476"/>
      <c r="M2191" s="1477">
        <v>0</v>
      </c>
      <c r="N2191" s="1478">
        <v>1.6207762294136245</v>
      </c>
      <c r="O2191" s="1478"/>
    </row>
    <row r="2192" spans="11:15">
      <c r="K2192" s="1475">
        <v>44249</v>
      </c>
      <c r="L2192" s="1476" t="s">
        <v>2127</v>
      </c>
      <c r="M2192" s="1477">
        <v>7.4689999999999999E-3</v>
      </c>
      <c r="N2192" s="1478">
        <v>1.6208972851901993</v>
      </c>
      <c r="O2192" s="1478"/>
    </row>
    <row r="2193" spans="11:15">
      <c r="K2193" s="1475">
        <v>44250</v>
      </c>
      <c r="L2193" s="1476" t="s">
        <v>2127</v>
      </c>
      <c r="M2193" s="1477">
        <v>7.4689999999999999E-3</v>
      </c>
      <c r="N2193" s="1478">
        <v>1.6210183500084301</v>
      </c>
      <c r="O2193" s="1478"/>
    </row>
    <row r="2194" spans="11:15">
      <c r="K2194" s="1475">
        <v>44251</v>
      </c>
      <c r="L2194" s="1476" t="s">
        <v>2127</v>
      </c>
      <c r="M2194" s="1477">
        <v>7.4689999999999999E-3</v>
      </c>
      <c r="N2194" s="1478">
        <v>1.621139423868992</v>
      </c>
      <c r="O2194" s="1478"/>
    </row>
    <row r="2195" spans="11:15">
      <c r="K2195" s="1475">
        <v>44252</v>
      </c>
      <c r="L2195" s="1476" t="s">
        <v>2127</v>
      </c>
      <c r="M2195" s="1477">
        <v>7.4689999999999999E-3</v>
      </c>
      <c r="N2195" s="1478">
        <v>1.6212605067725607</v>
      </c>
      <c r="O2195" s="1478"/>
    </row>
    <row r="2196" spans="11:15">
      <c r="K2196" s="1475">
        <v>44253</v>
      </c>
      <c r="L2196" s="1476" t="s">
        <v>2127</v>
      </c>
      <c r="M2196" s="1477">
        <v>7.4689999999999999E-3</v>
      </c>
      <c r="N2196" s="1478">
        <v>1.6213815987198115</v>
      </c>
      <c r="O2196" s="1478"/>
    </row>
    <row r="2197" spans="11:15">
      <c r="K2197" s="1475">
        <v>44254</v>
      </c>
      <c r="L2197" s="1476"/>
      <c r="M2197" s="1477">
        <v>0</v>
      </c>
      <c r="N2197" s="1478">
        <v>1.6213815987198115</v>
      </c>
      <c r="O2197" s="1478"/>
    </row>
    <row r="2198" spans="11:15">
      <c r="K2198" s="1475">
        <v>44255</v>
      </c>
      <c r="L2198" s="1476"/>
      <c r="M2198" s="1477">
        <v>0</v>
      </c>
      <c r="N2198" s="1478">
        <v>1.6213815987198115</v>
      </c>
      <c r="O2198" s="1478"/>
    </row>
    <row r="2199" spans="11:15">
      <c r="K2199" s="1475">
        <v>44256</v>
      </c>
      <c r="L2199" s="1476" t="s">
        <v>2127</v>
      </c>
      <c r="M2199" s="1477">
        <v>7.4689999999999999E-3</v>
      </c>
      <c r="N2199" s="1478">
        <v>1.6215026997114197</v>
      </c>
      <c r="O2199" s="1478"/>
    </row>
    <row r="2200" spans="11:15">
      <c r="K2200" s="1475">
        <v>44257</v>
      </c>
      <c r="L2200" s="1476" t="s">
        <v>2127</v>
      </c>
      <c r="M2200" s="1477">
        <v>7.4689999999999999E-3</v>
      </c>
      <c r="N2200" s="1478">
        <v>1.6216238097480611</v>
      </c>
      <c r="O2200" s="1478"/>
    </row>
    <row r="2201" spans="11:15">
      <c r="K2201" s="1475">
        <v>44258</v>
      </c>
      <c r="L2201" s="1476" t="s">
        <v>2127</v>
      </c>
      <c r="M2201" s="1477">
        <v>7.4689999999999999E-3</v>
      </c>
      <c r="N2201" s="1478">
        <v>1.6217449288304111</v>
      </c>
      <c r="O2201" s="1478"/>
    </row>
    <row r="2202" spans="11:15">
      <c r="K2202" s="1475">
        <v>44259</v>
      </c>
      <c r="L2202" s="1476" t="s">
        <v>2127</v>
      </c>
      <c r="M2202" s="1477">
        <v>7.4689999999999999E-3</v>
      </c>
      <c r="N2202" s="1478">
        <v>1.6218660569591454</v>
      </c>
      <c r="O2202" s="1478"/>
    </row>
    <row r="2203" spans="11:15">
      <c r="K2203" s="1475">
        <v>44260</v>
      </c>
      <c r="L2203" s="1476" t="s">
        <v>2127</v>
      </c>
      <c r="M2203" s="1477">
        <v>7.4689999999999999E-3</v>
      </c>
      <c r="N2203" s="1478">
        <v>1.6219871941349395</v>
      </c>
      <c r="O2203" s="1478"/>
    </row>
    <row r="2204" spans="11:15">
      <c r="K2204" s="1475">
        <v>44261</v>
      </c>
      <c r="L2204" s="1476"/>
      <c r="M2204" s="1477">
        <v>0</v>
      </c>
      <c r="N2204" s="1478">
        <v>1.6219871941349395</v>
      </c>
      <c r="O2204" s="1478"/>
    </row>
    <row r="2205" spans="11:15">
      <c r="K2205" s="1475">
        <v>44262</v>
      </c>
      <c r="L2205" s="1476"/>
      <c r="M2205" s="1477">
        <v>0</v>
      </c>
      <c r="N2205" s="1478">
        <v>1.6219871941349395</v>
      </c>
      <c r="O2205" s="1478"/>
    </row>
    <row r="2206" spans="11:15">
      <c r="K2206" s="1475">
        <v>44263</v>
      </c>
      <c r="L2206" s="1476" t="s">
        <v>2127</v>
      </c>
      <c r="M2206" s="1477">
        <v>7.4689999999999999E-3</v>
      </c>
      <c r="N2206" s="1478">
        <v>1.6221083403584693</v>
      </c>
      <c r="O2206" s="1478"/>
    </row>
    <row r="2207" spans="11:15">
      <c r="K2207" s="1475">
        <v>44264</v>
      </c>
      <c r="L2207" s="1476" t="s">
        <v>2127</v>
      </c>
      <c r="M2207" s="1477">
        <v>7.4689999999999999E-3</v>
      </c>
      <c r="N2207" s="1478">
        <v>1.6222294956304106</v>
      </c>
      <c r="O2207" s="1478"/>
    </row>
    <row r="2208" spans="11:15">
      <c r="K2208" s="1475">
        <v>44265</v>
      </c>
      <c r="L2208" s="1476" t="s">
        <v>2127</v>
      </c>
      <c r="M2208" s="1477">
        <v>7.4689999999999999E-3</v>
      </c>
      <c r="N2208" s="1478">
        <v>1.6223506599514392</v>
      </c>
      <c r="O2208" s="1478"/>
    </row>
    <row r="2209" spans="11:15">
      <c r="K2209" s="1475">
        <v>44266</v>
      </c>
      <c r="L2209" s="1476" t="s">
        <v>2127</v>
      </c>
      <c r="M2209" s="1477">
        <v>7.4689999999999999E-3</v>
      </c>
      <c r="N2209" s="1478">
        <v>1.622471833322231</v>
      </c>
      <c r="O2209" s="1478"/>
    </row>
    <row r="2210" spans="11:15">
      <c r="K2210" s="1475">
        <v>44267</v>
      </c>
      <c r="L2210" s="1476" t="s">
        <v>2127</v>
      </c>
      <c r="M2210" s="1477">
        <v>7.4689999999999999E-3</v>
      </c>
      <c r="N2210" s="1478">
        <v>1.6225930157434618</v>
      </c>
      <c r="O2210" s="1478"/>
    </row>
    <row r="2211" spans="11:15">
      <c r="K2211" s="1475">
        <v>44268</v>
      </c>
      <c r="L2211" s="1476"/>
      <c r="M2211" s="1477">
        <v>0</v>
      </c>
      <c r="N2211" s="1478">
        <v>1.6225930157434618</v>
      </c>
      <c r="O2211" s="1478"/>
    </row>
    <row r="2212" spans="11:15">
      <c r="K2212" s="1475">
        <v>44269</v>
      </c>
      <c r="L2212" s="1476"/>
      <c r="M2212" s="1477">
        <v>0</v>
      </c>
      <c r="N2212" s="1478">
        <v>1.6225930157434618</v>
      </c>
      <c r="O2212" s="1478"/>
    </row>
    <row r="2213" spans="11:15">
      <c r="K2213" s="1475">
        <v>44270</v>
      </c>
      <c r="L2213" s="1476" t="s">
        <v>2127</v>
      </c>
      <c r="M2213" s="1477">
        <v>7.4689999999999999E-3</v>
      </c>
      <c r="N2213" s="1478">
        <v>1.6227142072158076</v>
      </c>
      <c r="O2213" s="1478"/>
    </row>
    <row r="2214" spans="11:15">
      <c r="K2214" s="1475">
        <v>44271</v>
      </c>
      <c r="L2214" s="1476" t="s">
        <v>2127</v>
      </c>
      <c r="M2214" s="1477">
        <v>7.4689999999999999E-3</v>
      </c>
      <c r="N2214" s="1478">
        <v>1.6228354077399445</v>
      </c>
      <c r="O2214" s="1478"/>
    </row>
    <row r="2215" spans="11:15">
      <c r="K2215" s="1475">
        <v>44272</v>
      </c>
      <c r="L2215" s="1476" t="s">
        <v>2127</v>
      </c>
      <c r="M2215" s="1477">
        <v>7.4689999999999999E-3</v>
      </c>
      <c r="N2215" s="1478">
        <v>1.6229566173165484</v>
      </c>
      <c r="O2215" s="1478"/>
    </row>
    <row r="2216" spans="11:15">
      <c r="K2216" s="1475">
        <v>44273</v>
      </c>
      <c r="L2216" s="1476" t="s">
        <v>2127</v>
      </c>
      <c r="M2216" s="1477">
        <v>1.0378999999999999E-2</v>
      </c>
      <c r="N2216" s="1478">
        <v>1.6231250639838597</v>
      </c>
      <c r="O2216" s="1478"/>
    </row>
    <row r="2217" spans="11:15">
      <c r="K2217" s="1475">
        <v>44274</v>
      </c>
      <c r="L2217" s="1476" t="s">
        <v>2127</v>
      </c>
      <c r="M2217" s="1477">
        <v>1.0378999999999999E-2</v>
      </c>
      <c r="N2217" s="1478">
        <v>1.6232935281342507</v>
      </c>
      <c r="O2217" s="1478"/>
    </row>
    <row r="2218" spans="11:15">
      <c r="K2218" s="1475">
        <v>44275</v>
      </c>
      <c r="L2218" s="1476"/>
      <c r="M2218" s="1477">
        <v>0</v>
      </c>
      <c r="N2218" s="1478">
        <v>1.6232935281342507</v>
      </c>
      <c r="O2218" s="1478"/>
    </row>
    <row r="2219" spans="11:15">
      <c r="K2219" s="1475">
        <v>44276</v>
      </c>
      <c r="L2219" s="1476"/>
      <c r="M2219" s="1477">
        <v>0</v>
      </c>
      <c r="N2219" s="1478">
        <v>1.6232935281342507</v>
      </c>
      <c r="O2219" s="1478"/>
    </row>
    <row r="2220" spans="11:15">
      <c r="K2220" s="1475">
        <v>44277</v>
      </c>
      <c r="L2220" s="1476" t="s">
        <v>2127</v>
      </c>
      <c r="M2220" s="1477">
        <v>1.0378999999999999E-2</v>
      </c>
      <c r="N2220" s="1478">
        <v>1.6234620097695358</v>
      </c>
      <c r="O2220" s="1478"/>
    </row>
    <row r="2221" spans="11:15">
      <c r="K2221" s="1475">
        <v>44278</v>
      </c>
      <c r="L2221" s="1476" t="s">
        <v>2127</v>
      </c>
      <c r="M2221" s="1477">
        <v>1.0378999999999999E-2</v>
      </c>
      <c r="N2221" s="1478">
        <v>1.6236305088915299</v>
      </c>
      <c r="O2221" s="1478"/>
    </row>
    <row r="2222" spans="11:15">
      <c r="K2222" s="1475">
        <v>44279</v>
      </c>
      <c r="L2222" s="1476" t="s">
        <v>2127</v>
      </c>
      <c r="M2222" s="1477">
        <v>1.0378999999999999E-2</v>
      </c>
      <c r="N2222" s="1478">
        <v>1.6237990255020478</v>
      </c>
      <c r="O2222" s="1478"/>
    </row>
    <row r="2223" spans="11:15">
      <c r="K2223" s="1475">
        <v>44280</v>
      </c>
      <c r="L2223" s="1476" t="s">
        <v>2127</v>
      </c>
      <c r="M2223" s="1477">
        <v>1.0378999999999999E-2</v>
      </c>
      <c r="N2223" s="1478">
        <v>1.6239675596029048</v>
      </c>
      <c r="O2223" s="1478"/>
    </row>
    <row r="2224" spans="11:15">
      <c r="K2224" s="1475">
        <v>44281</v>
      </c>
      <c r="L2224" s="1476" t="s">
        <v>2127</v>
      </c>
      <c r="M2224" s="1477">
        <v>1.0378999999999999E-2</v>
      </c>
      <c r="N2224" s="1478">
        <v>1.6241361111959161</v>
      </c>
      <c r="O2224" s="1478"/>
    </row>
    <row r="2225" spans="11:15">
      <c r="K2225" s="1475">
        <v>44282</v>
      </c>
      <c r="L2225" s="1476"/>
      <c r="M2225" s="1477">
        <v>0</v>
      </c>
      <c r="N2225" s="1478">
        <v>1.6241361111959161</v>
      </c>
      <c r="O2225" s="1478"/>
    </row>
    <row r="2226" spans="11:15">
      <c r="K2226" s="1475">
        <v>44283</v>
      </c>
      <c r="L2226" s="1476"/>
      <c r="M2226" s="1477">
        <v>0</v>
      </c>
      <c r="N2226" s="1478">
        <v>1.6241361111959161</v>
      </c>
      <c r="O2226" s="1478"/>
    </row>
    <row r="2227" spans="11:15">
      <c r="K2227" s="1475">
        <v>44284</v>
      </c>
      <c r="L2227" s="1476" t="s">
        <v>2127</v>
      </c>
      <c r="M2227" s="1477">
        <v>1.0378999999999999E-2</v>
      </c>
      <c r="N2227" s="1478">
        <v>1.6243046802828971</v>
      </c>
      <c r="O2227" s="1478"/>
    </row>
    <row r="2228" spans="11:15">
      <c r="K2228" s="1475">
        <v>44285</v>
      </c>
      <c r="L2228" s="1476" t="s">
        <v>2127</v>
      </c>
      <c r="M2228" s="1477">
        <v>1.0378999999999999E-2</v>
      </c>
      <c r="N2228" s="1478">
        <v>1.6244732668656638</v>
      </c>
      <c r="O2228" s="1478"/>
    </row>
    <row r="2229" spans="11:15">
      <c r="K2229" s="1475">
        <v>44286</v>
      </c>
      <c r="L2229" s="1476" t="s">
        <v>2127</v>
      </c>
      <c r="M2229" s="1477">
        <v>1.0378999999999999E-2</v>
      </c>
      <c r="N2229" s="1478">
        <v>1.624641870946032</v>
      </c>
      <c r="O2229" s="1478"/>
    </row>
    <row r="2230" spans="11:15">
      <c r="K2230" s="1475">
        <v>44287</v>
      </c>
      <c r="L2230" s="1476" t="s">
        <v>2127</v>
      </c>
      <c r="M2230" s="1477">
        <v>1.0378999999999999E-2</v>
      </c>
      <c r="N2230" s="1478">
        <v>1.6248104925258176</v>
      </c>
      <c r="O2230" s="1478"/>
    </row>
    <row r="2231" spans="11:15">
      <c r="K2231" s="1475">
        <v>44288</v>
      </c>
      <c r="L2231" s="1476"/>
      <c r="M2231" s="1477">
        <v>0</v>
      </c>
      <c r="N2231" s="1478">
        <v>1.6248104925258176</v>
      </c>
      <c r="O2231" s="1478"/>
    </row>
    <row r="2232" spans="11:15">
      <c r="K2232" s="1475">
        <v>44289</v>
      </c>
      <c r="L2232" s="1476"/>
      <c r="M2232" s="1477">
        <v>0</v>
      </c>
      <c r="N2232" s="1478">
        <v>1.6248104925258176</v>
      </c>
      <c r="O2232" s="1478"/>
    </row>
    <row r="2233" spans="11:15">
      <c r="K2233" s="1475">
        <v>44290</v>
      </c>
      <c r="L2233" s="1476"/>
      <c r="M2233" s="1477">
        <v>0</v>
      </c>
      <c r="N2233" s="1478">
        <v>1.6248104925258176</v>
      </c>
      <c r="O2233" s="1478"/>
    </row>
    <row r="2234" spans="11:15">
      <c r="K2234" s="1475">
        <v>44291</v>
      </c>
      <c r="L2234" s="1476" t="s">
        <v>2127</v>
      </c>
      <c r="M2234" s="1477">
        <v>1.0378999999999999E-2</v>
      </c>
      <c r="N2234" s="1478">
        <v>1.6249791316068369</v>
      </c>
      <c r="O2234" s="1478"/>
    </row>
    <row r="2235" spans="11:15">
      <c r="K2235" s="1475">
        <v>44292</v>
      </c>
      <c r="L2235" s="1476" t="s">
        <v>2127</v>
      </c>
      <c r="M2235" s="1477">
        <v>1.0378999999999999E-2</v>
      </c>
      <c r="N2235" s="1478">
        <v>1.6251477881909064</v>
      </c>
      <c r="O2235" s="1478"/>
    </row>
    <row r="2236" spans="11:15">
      <c r="K2236" s="1475">
        <v>44293</v>
      </c>
      <c r="L2236" s="1476" t="s">
        <v>2127</v>
      </c>
      <c r="M2236" s="1477">
        <v>1.0378999999999999E-2</v>
      </c>
      <c r="N2236" s="1478">
        <v>1.6253164622798428</v>
      </c>
      <c r="O2236" s="1478"/>
    </row>
    <row r="2237" spans="11:15">
      <c r="K2237" s="1475">
        <v>44294</v>
      </c>
      <c r="L2237" s="1476" t="s">
        <v>2127</v>
      </c>
      <c r="M2237" s="1477">
        <v>1.0378999999999999E-2</v>
      </c>
      <c r="N2237" s="1478">
        <v>1.6254851538754629</v>
      </c>
      <c r="O2237" s="1478"/>
    </row>
    <row r="2238" spans="11:15">
      <c r="K2238" s="1475">
        <v>44295</v>
      </c>
      <c r="L2238" s="1476" t="s">
        <v>2127</v>
      </c>
      <c r="M2238" s="1477">
        <v>1.0378999999999999E-2</v>
      </c>
      <c r="N2238" s="1478">
        <v>1.6256538629795838</v>
      </c>
      <c r="O2238" s="1478"/>
    </row>
    <row r="2239" spans="11:15">
      <c r="K2239" s="1475">
        <v>44296</v>
      </c>
      <c r="L2239" s="1476"/>
      <c r="M2239" s="1477">
        <v>0</v>
      </c>
      <c r="N2239" s="1478">
        <v>1.6256538629795838</v>
      </c>
      <c r="O2239" s="1478"/>
    </row>
    <row r="2240" spans="11:15">
      <c r="K2240" s="1475">
        <v>44297</v>
      </c>
      <c r="L2240" s="1476"/>
      <c r="M2240" s="1477">
        <v>0</v>
      </c>
      <c r="N2240" s="1478">
        <v>1.6256538629795838</v>
      </c>
      <c r="O2240" s="1478"/>
    </row>
    <row r="2241" spans="11:15">
      <c r="K2241" s="1475">
        <v>44298</v>
      </c>
      <c r="L2241" s="1476" t="s">
        <v>2127</v>
      </c>
      <c r="M2241" s="1477">
        <v>1.0378999999999999E-2</v>
      </c>
      <c r="N2241" s="1478">
        <v>1.6258225895940226</v>
      </c>
      <c r="O2241" s="1478"/>
    </row>
    <row r="2242" spans="11:15">
      <c r="K2242" s="1475">
        <v>44299</v>
      </c>
      <c r="L2242" s="1476" t="s">
        <v>2127</v>
      </c>
      <c r="M2242" s="1477">
        <v>1.0378999999999999E-2</v>
      </c>
      <c r="N2242" s="1478">
        <v>1.6259913337205967</v>
      </c>
      <c r="O2242" s="1478"/>
    </row>
    <row r="2243" spans="11:15">
      <c r="K2243" s="1475">
        <v>44300</v>
      </c>
      <c r="L2243" s="1476" t="s">
        <v>2127</v>
      </c>
      <c r="M2243" s="1477">
        <v>1.0378999999999999E-2</v>
      </c>
      <c r="N2243" s="1478">
        <v>1.6261600953611237</v>
      </c>
      <c r="O2243" s="1478"/>
    </row>
    <row r="2244" spans="11:15">
      <c r="K2244" s="1475">
        <v>44301</v>
      </c>
      <c r="L2244" s="1476" t="s">
        <v>2127</v>
      </c>
      <c r="M2244" s="1477">
        <v>1.0378999999999999E-2</v>
      </c>
      <c r="N2244" s="1478">
        <v>1.6263288745174214</v>
      </c>
      <c r="O2244" s="1478"/>
    </row>
    <row r="2245" spans="11:15">
      <c r="K2245" s="1475">
        <v>44302</v>
      </c>
      <c r="L2245" s="1476" t="s">
        <v>2127</v>
      </c>
      <c r="M2245" s="1477">
        <v>1.0378999999999999E-2</v>
      </c>
      <c r="N2245" s="1478">
        <v>1.6264976711913075</v>
      </c>
      <c r="O2245" s="1478"/>
    </row>
    <row r="2246" spans="11:15">
      <c r="K2246" s="1475">
        <v>44303</v>
      </c>
      <c r="L2246" s="1476"/>
      <c r="M2246" s="1477">
        <v>0</v>
      </c>
      <c r="N2246" s="1478">
        <v>1.6264976711913075</v>
      </c>
      <c r="O2246" s="1478"/>
    </row>
    <row r="2247" spans="11:15">
      <c r="K2247" s="1475">
        <v>44304</v>
      </c>
      <c r="L2247" s="1476"/>
      <c r="M2247" s="1477">
        <v>0</v>
      </c>
      <c r="N2247" s="1478">
        <v>1.6264976711913075</v>
      </c>
      <c r="O2247" s="1478"/>
    </row>
    <row r="2248" spans="11:15">
      <c r="K2248" s="1475">
        <v>44305</v>
      </c>
      <c r="L2248" s="1476" t="s">
        <v>2127</v>
      </c>
      <c r="M2248" s="1477">
        <v>1.0378999999999999E-2</v>
      </c>
      <c r="N2248" s="1478">
        <v>1.6266664853846005</v>
      </c>
      <c r="O2248" s="1478"/>
    </row>
    <row r="2249" spans="11:15">
      <c r="K2249" s="1475">
        <v>44306</v>
      </c>
      <c r="L2249" s="1476" t="s">
        <v>2127</v>
      </c>
      <c r="M2249" s="1477">
        <v>1.0378999999999999E-2</v>
      </c>
      <c r="N2249" s="1478">
        <v>1.6268353170991185</v>
      </c>
      <c r="O2249" s="1478"/>
    </row>
    <row r="2250" spans="11:15">
      <c r="K2250" s="1475">
        <v>44307</v>
      </c>
      <c r="L2250" s="1476"/>
      <c r="M2250" s="1477">
        <v>0</v>
      </c>
      <c r="N2250" s="1478">
        <v>1.6268353170991185</v>
      </c>
      <c r="O2250" s="1478"/>
    </row>
    <row r="2251" spans="11:15">
      <c r="K2251" s="1475">
        <v>44308</v>
      </c>
      <c r="L2251" s="1476" t="s">
        <v>2127</v>
      </c>
      <c r="M2251" s="1477">
        <v>1.0378999999999999E-2</v>
      </c>
      <c r="N2251" s="1478">
        <v>1.6270041663366803</v>
      </c>
      <c r="O2251" s="1478"/>
    </row>
    <row r="2252" spans="11:15">
      <c r="K2252" s="1475">
        <v>44309</v>
      </c>
      <c r="L2252" s="1476" t="s">
        <v>2127</v>
      </c>
      <c r="M2252" s="1477">
        <v>1.0378999999999999E-2</v>
      </c>
      <c r="N2252" s="1478">
        <v>1.6271730330991045</v>
      </c>
      <c r="O2252" s="1478"/>
    </row>
    <row r="2253" spans="11:15">
      <c r="K2253" s="1475">
        <v>44310</v>
      </c>
      <c r="L2253" s="1476"/>
      <c r="M2253" s="1477">
        <v>0</v>
      </c>
      <c r="N2253" s="1478">
        <v>1.6271730330991045</v>
      </c>
      <c r="O2253" s="1478"/>
    </row>
    <row r="2254" spans="11:15">
      <c r="K2254" s="1475">
        <v>44311</v>
      </c>
      <c r="L2254" s="1476"/>
      <c r="M2254" s="1477">
        <v>0</v>
      </c>
      <c r="N2254" s="1478">
        <v>1.6271730330991045</v>
      </c>
      <c r="O2254" s="1478"/>
    </row>
    <row r="2255" spans="11:15">
      <c r="K2255" s="1475">
        <v>44312</v>
      </c>
      <c r="L2255" s="1476" t="s">
        <v>2127</v>
      </c>
      <c r="M2255" s="1477">
        <v>1.0378999999999999E-2</v>
      </c>
      <c r="N2255" s="1478">
        <v>1.62734191738821</v>
      </c>
      <c r="O2255" s="1478"/>
    </row>
    <row r="2256" spans="11:15">
      <c r="K2256" s="1475">
        <v>44313</v>
      </c>
      <c r="L2256" s="1476" t="s">
        <v>2127</v>
      </c>
      <c r="M2256" s="1477">
        <v>1.0378999999999999E-2</v>
      </c>
      <c r="N2256" s="1478">
        <v>1.6275108192058159</v>
      </c>
      <c r="O2256" s="1478"/>
    </row>
    <row r="2257" spans="11:15">
      <c r="K2257" s="1475">
        <v>44314</v>
      </c>
      <c r="L2257" s="1476" t="s">
        <v>2127</v>
      </c>
      <c r="M2257" s="1477">
        <v>1.0378999999999999E-2</v>
      </c>
      <c r="N2257" s="1478">
        <v>1.6276797385537414</v>
      </c>
      <c r="O2257" s="1478"/>
    </row>
    <row r="2258" spans="11:15">
      <c r="K2258" s="1475">
        <v>44315</v>
      </c>
      <c r="L2258" s="1476" t="s">
        <v>2127</v>
      </c>
      <c r="M2258" s="1477">
        <v>1.0378999999999999E-2</v>
      </c>
      <c r="N2258" s="1478">
        <v>1.627848675433806</v>
      </c>
      <c r="O2258" s="1478"/>
    </row>
    <row r="2259" spans="11:15">
      <c r="K2259" s="1475">
        <v>44316</v>
      </c>
      <c r="L2259" s="1476" t="s">
        <v>2127</v>
      </c>
      <c r="M2259" s="1477">
        <v>1.0378999999999999E-2</v>
      </c>
      <c r="N2259" s="1478">
        <v>1.6280176298478293</v>
      </c>
      <c r="O2259" s="1478"/>
    </row>
    <row r="2260" spans="11:15">
      <c r="K2260" s="1475">
        <v>44317</v>
      </c>
      <c r="L2260" s="1476"/>
      <c r="M2260" s="1477">
        <v>0</v>
      </c>
      <c r="N2260" s="1478">
        <v>1.6280176298478293</v>
      </c>
      <c r="O2260" s="1478"/>
    </row>
    <row r="2261" spans="11:15">
      <c r="K2261" s="1475">
        <v>44318</v>
      </c>
      <c r="L2261" s="1476"/>
      <c r="M2261" s="1477">
        <v>0</v>
      </c>
      <c r="N2261" s="1478">
        <v>1.6280176298478293</v>
      </c>
      <c r="O2261" s="1478"/>
    </row>
    <row r="2262" spans="11:15">
      <c r="K2262" s="1475">
        <v>44319</v>
      </c>
      <c r="L2262" s="1476" t="s">
        <v>2127</v>
      </c>
      <c r="M2262" s="1477">
        <v>1.0378999999999999E-2</v>
      </c>
      <c r="N2262" s="1478">
        <v>1.6281866017976312</v>
      </c>
      <c r="O2262" s="1478"/>
    </row>
    <row r="2263" spans="11:15">
      <c r="K2263" s="1475">
        <v>44320</v>
      </c>
      <c r="L2263" s="1476" t="s">
        <v>2127</v>
      </c>
      <c r="M2263" s="1477">
        <v>1.0378999999999999E-2</v>
      </c>
      <c r="N2263" s="1478">
        <v>1.6283555912850318</v>
      </c>
      <c r="O2263" s="1478"/>
    </row>
    <row r="2264" spans="11:15">
      <c r="K2264" s="1475">
        <v>44321</v>
      </c>
      <c r="L2264" s="1476" t="s">
        <v>2127</v>
      </c>
      <c r="M2264" s="1477">
        <v>1.0378999999999999E-2</v>
      </c>
      <c r="N2264" s="1478">
        <v>1.6285245983118515</v>
      </c>
      <c r="O2264" s="1478"/>
    </row>
    <row r="2265" spans="11:15">
      <c r="K2265" s="1475">
        <v>44322</v>
      </c>
      <c r="L2265" s="1476" t="s">
        <v>2127</v>
      </c>
      <c r="M2265" s="1477">
        <v>1.3269E-2</v>
      </c>
      <c r="N2265" s="1478">
        <v>1.6287406872408015</v>
      </c>
      <c r="O2265" s="1478"/>
    </row>
    <row r="2266" spans="11:15">
      <c r="K2266" s="1475">
        <v>44323</v>
      </c>
      <c r="L2266" s="1476" t="s">
        <v>2127</v>
      </c>
      <c r="M2266" s="1477">
        <v>1.3269E-2</v>
      </c>
      <c r="N2266" s="1478">
        <v>1.6289568048425915</v>
      </c>
      <c r="O2266" s="1478"/>
    </row>
    <row r="2267" spans="11:15">
      <c r="K2267" s="1475">
        <v>44324</v>
      </c>
      <c r="L2267" s="1476"/>
      <c r="M2267" s="1477">
        <v>0</v>
      </c>
      <c r="N2267" s="1478">
        <v>1.6289568048425915</v>
      </c>
      <c r="O2267" s="1478"/>
    </row>
    <row r="2268" spans="11:15">
      <c r="K2268" s="1475">
        <v>44325</v>
      </c>
      <c r="L2268" s="1476"/>
      <c r="M2268" s="1477">
        <v>0</v>
      </c>
      <c r="N2268" s="1478">
        <v>1.6289568048425915</v>
      </c>
      <c r="O2268" s="1478"/>
    </row>
    <row r="2269" spans="11:15">
      <c r="K2269" s="1475">
        <v>44326</v>
      </c>
      <c r="L2269" s="1476" t="s">
        <v>2127</v>
      </c>
      <c r="M2269" s="1477">
        <v>1.3269E-2</v>
      </c>
      <c r="N2269" s="1478">
        <v>1.6291729511210262</v>
      </c>
      <c r="O2269" s="1478"/>
    </row>
    <row r="2270" spans="11:15">
      <c r="K2270" s="1475">
        <v>44327</v>
      </c>
      <c r="L2270" s="1476" t="s">
        <v>2127</v>
      </c>
      <c r="M2270" s="1477">
        <v>1.3269E-2</v>
      </c>
      <c r="N2270" s="1478">
        <v>1.6293891260799105</v>
      </c>
      <c r="O2270" s="1478"/>
    </row>
    <row r="2271" spans="11:15">
      <c r="K2271" s="1475">
        <v>44328</v>
      </c>
      <c r="L2271" s="1476" t="s">
        <v>2127</v>
      </c>
      <c r="M2271" s="1477">
        <v>1.3269E-2</v>
      </c>
      <c r="N2271" s="1478">
        <v>1.6296053297230502</v>
      </c>
      <c r="O2271" s="1478"/>
    </row>
    <row r="2272" spans="11:15">
      <c r="K2272" s="1475">
        <v>44329</v>
      </c>
      <c r="L2272" s="1476" t="s">
        <v>2127</v>
      </c>
      <c r="M2272" s="1477">
        <v>1.3269E-2</v>
      </c>
      <c r="N2272" s="1478">
        <v>1.6298215620542511</v>
      </c>
      <c r="O2272" s="1478"/>
    </row>
    <row r="2273" spans="11:15">
      <c r="K2273" s="1475">
        <v>44330</v>
      </c>
      <c r="L2273" s="1476" t="s">
        <v>2127</v>
      </c>
      <c r="M2273" s="1477">
        <v>1.3269E-2</v>
      </c>
      <c r="N2273" s="1478">
        <v>1.6300378230773203</v>
      </c>
      <c r="O2273" s="1478"/>
    </row>
    <row r="2274" spans="11:15">
      <c r="K2274" s="1475">
        <v>44331</v>
      </c>
      <c r="L2274" s="1476"/>
      <c r="M2274" s="1477">
        <v>0</v>
      </c>
      <c r="N2274" s="1478">
        <v>1.6300378230773203</v>
      </c>
      <c r="O2274" s="1478"/>
    </row>
    <row r="2275" spans="11:15">
      <c r="K2275" s="1475">
        <v>44332</v>
      </c>
      <c r="L2275" s="1476"/>
      <c r="M2275" s="1477">
        <v>0</v>
      </c>
      <c r="N2275" s="1478">
        <v>1.6300378230773203</v>
      </c>
      <c r="O2275" s="1478"/>
    </row>
    <row r="2276" spans="11:15">
      <c r="K2276" s="1475">
        <v>44333</v>
      </c>
      <c r="L2276" s="1476" t="s">
        <v>2127</v>
      </c>
      <c r="M2276" s="1477">
        <v>1.3269E-2</v>
      </c>
      <c r="N2276" s="1478">
        <v>1.6302541127960644</v>
      </c>
      <c r="O2276" s="1478"/>
    </row>
    <row r="2277" spans="11:15">
      <c r="K2277" s="1475">
        <v>44334</v>
      </c>
      <c r="L2277" s="1476" t="s">
        <v>2127</v>
      </c>
      <c r="M2277" s="1477">
        <v>1.3269E-2</v>
      </c>
      <c r="N2277" s="1478">
        <v>1.6304704312142912</v>
      </c>
      <c r="O2277" s="1478"/>
    </row>
    <row r="2278" spans="11:15">
      <c r="K2278" s="1475">
        <v>44335</v>
      </c>
      <c r="L2278" s="1476" t="s">
        <v>2127</v>
      </c>
      <c r="M2278" s="1477">
        <v>1.3269E-2</v>
      </c>
      <c r="N2278" s="1478">
        <v>1.6306867783358092</v>
      </c>
      <c r="O2278" s="1478"/>
    </row>
    <row r="2279" spans="11:15">
      <c r="K2279" s="1475">
        <v>44336</v>
      </c>
      <c r="L2279" s="1476" t="s">
        <v>2127</v>
      </c>
      <c r="M2279" s="1477">
        <v>1.3269E-2</v>
      </c>
      <c r="N2279" s="1478">
        <v>1.6309031541644268</v>
      </c>
      <c r="O2279" s="1478"/>
    </row>
    <row r="2280" spans="11:15">
      <c r="K2280" s="1475">
        <v>44337</v>
      </c>
      <c r="L2280" s="1476" t="s">
        <v>2127</v>
      </c>
      <c r="M2280" s="1477">
        <v>1.3269E-2</v>
      </c>
      <c r="N2280" s="1478">
        <v>1.6311195587039529</v>
      </c>
      <c r="O2280" s="1478"/>
    </row>
    <row r="2281" spans="11:15">
      <c r="K2281" s="1475">
        <v>44338</v>
      </c>
      <c r="L2281" s="1476"/>
      <c r="M2281" s="1477">
        <v>0</v>
      </c>
      <c r="N2281" s="1478">
        <v>1.6311195587039529</v>
      </c>
      <c r="O2281" s="1478"/>
    </row>
    <row r="2282" spans="11:15">
      <c r="K2282" s="1475">
        <v>44339</v>
      </c>
      <c r="L2282" s="1476"/>
      <c r="M2282" s="1477">
        <v>0</v>
      </c>
      <c r="N2282" s="1478">
        <v>1.6311195587039529</v>
      </c>
      <c r="O2282" s="1478"/>
    </row>
    <row r="2283" spans="11:15">
      <c r="K2283" s="1475">
        <v>44340</v>
      </c>
      <c r="L2283" s="1476" t="s">
        <v>2127</v>
      </c>
      <c r="M2283" s="1477">
        <v>1.3269E-2</v>
      </c>
      <c r="N2283" s="1478">
        <v>1.6313359919581973</v>
      </c>
      <c r="O2283" s="1478"/>
    </row>
    <row r="2284" spans="11:15">
      <c r="K2284" s="1475">
        <v>44341</v>
      </c>
      <c r="L2284" s="1476" t="s">
        <v>2127</v>
      </c>
      <c r="M2284" s="1477">
        <v>1.3269E-2</v>
      </c>
      <c r="N2284" s="1478">
        <v>1.6315524539309703</v>
      </c>
      <c r="O2284" s="1478"/>
    </row>
    <row r="2285" spans="11:15">
      <c r="K2285" s="1475">
        <v>44342</v>
      </c>
      <c r="L2285" s="1476" t="s">
        <v>2127</v>
      </c>
      <c r="M2285" s="1477">
        <v>1.3269E-2</v>
      </c>
      <c r="N2285" s="1478">
        <v>1.6317689446260824</v>
      </c>
      <c r="O2285" s="1478"/>
    </row>
    <row r="2286" spans="11:15">
      <c r="K2286" s="1475">
        <v>44343</v>
      </c>
      <c r="L2286" s="1476" t="s">
        <v>2127</v>
      </c>
      <c r="M2286" s="1477">
        <v>1.3269E-2</v>
      </c>
      <c r="N2286" s="1478">
        <v>1.6319854640473448</v>
      </c>
      <c r="O2286" s="1478"/>
    </row>
    <row r="2287" spans="11:15">
      <c r="K2287" s="1475">
        <v>44344</v>
      </c>
      <c r="L2287" s="1476" t="s">
        <v>2127</v>
      </c>
      <c r="M2287" s="1477">
        <v>1.3269E-2</v>
      </c>
      <c r="N2287" s="1478">
        <v>1.6322020121985694</v>
      </c>
      <c r="O2287" s="1478"/>
    </row>
    <row r="2288" spans="11:15">
      <c r="K2288" s="1475">
        <v>44345</v>
      </c>
      <c r="L2288" s="1476"/>
      <c r="M2288" s="1477">
        <v>0</v>
      </c>
      <c r="N2288" s="1478">
        <v>1.6322020121985694</v>
      </c>
      <c r="O2288" s="1478"/>
    </row>
    <row r="2289" spans="11:15">
      <c r="K2289" s="1475">
        <v>44346</v>
      </c>
      <c r="L2289" s="1476"/>
      <c r="M2289" s="1477">
        <v>0</v>
      </c>
      <c r="N2289" s="1478">
        <v>1.6322020121985694</v>
      </c>
      <c r="O2289" s="1478"/>
    </row>
    <row r="2290" spans="11:15">
      <c r="K2290" s="1475">
        <v>44347</v>
      </c>
      <c r="L2290" s="1476" t="s">
        <v>2127</v>
      </c>
      <c r="M2290" s="1477">
        <v>1.3269E-2</v>
      </c>
      <c r="N2290" s="1478">
        <v>1.6324185890835681</v>
      </c>
      <c r="O2290" s="1478"/>
    </row>
    <row r="2291" spans="11:15">
      <c r="K2291" s="1475">
        <v>44348</v>
      </c>
      <c r="L2291" s="1476" t="s">
        <v>2127</v>
      </c>
      <c r="M2291" s="1477">
        <v>1.3269E-2</v>
      </c>
      <c r="N2291" s="1478">
        <v>1.6326351947061537</v>
      </c>
      <c r="O2291" s="1478"/>
    </row>
    <row r="2292" spans="11:15">
      <c r="K2292" s="1475">
        <v>44349</v>
      </c>
      <c r="L2292" s="1476" t="s">
        <v>2127</v>
      </c>
      <c r="M2292" s="1477">
        <v>1.3269E-2</v>
      </c>
      <c r="N2292" s="1478">
        <v>1.6328518290701393</v>
      </c>
      <c r="O2292" s="1478"/>
    </row>
    <row r="2293" spans="11:15">
      <c r="K2293" s="1475">
        <v>44350</v>
      </c>
      <c r="L2293" s="1476"/>
      <c r="M2293" s="1477">
        <v>0</v>
      </c>
      <c r="N2293" s="1478">
        <v>1.6328518290701393</v>
      </c>
      <c r="O2293" s="1478"/>
    </row>
    <row r="2294" spans="11:15">
      <c r="K2294" s="1475">
        <v>44351</v>
      </c>
      <c r="L2294" s="1476" t="s">
        <v>2127</v>
      </c>
      <c r="M2294" s="1477">
        <v>1.3269E-2</v>
      </c>
      <c r="N2294" s="1478">
        <v>1.6330684921793386</v>
      </c>
      <c r="O2294" s="1478"/>
    </row>
    <row r="2295" spans="11:15">
      <c r="K2295" s="1475">
        <v>44352</v>
      </c>
      <c r="L2295" s="1476"/>
      <c r="M2295" s="1477">
        <v>0</v>
      </c>
      <c r="N2295" s="1478">
        <v>1.6330684921793386</v>
      </c>
      <c r="O2295" s="1478"/>
    </row>
    <row r="2296" spans="11:15">
      <c r="K2296" s="1475">
        <v>44353</v>
      </c>
      <c r="L2296" s="1476"/>
      <c r="M2296" s="1477">
        <v>0</v>
      </c>
      <c r="N2296" s="1478">
        <v>1.6330684921793386</v>
      </c>
      <c r="O2296" s="1478"/>
    </row>
    <row r="2297" spans="11:15">
      <c r="K2297" s="1475">
        <v>44354</v>
      </c>
      <c r="L2297" s="1476" t="s">
        <v>2127</v>
      </c>
      <c r="M2297" s="1477">
        <v>1.3269E-2</v>
      </c>
      <c r="N2297" s="1478">
        <v>1.633285184037566</v>
      </c>
      <c r="O2297" s="1478"/>
    </row>
    <row r="2298" spans="11:15">
      <c r="K2298" s="1475">
        <v>44355</v>
      </c>
      <c r="L2298" s="1476" t="s">
        <v>2127</v>
      </c>
      <c r="M2298" s="1477">
        <v>1.3269E-2</v>
      </c>
      <c r="N2298" s="1478">
        <v>1.6335019046486359</v>
      </c>
      <c r="O2298" s="1478"/>
    </row>
    <row r="2299" spans="11:15">
      <c r="K2299" s="1475">
        <v>44356</v>
      </c>
      <c r="L2299" s="1476" t="s">
        <v>2127</v>
      </c>
      <c r="M2299" s="1477">
        <v>1.3269E-2</v>
      </c>
      <c r="N2299" s="1478">
        <v>1.6337186540163637</v>
      </c>
      <c r="O2299" s="1478"/>
    </row>
    <row r="2300" spans="11:15">
      <c r="K2300" s="1475">
        <v>44357</v>
      </c>
      <c r="L2300" s="1476" t="s">
        <v>2127</v>
      </c>
      <c r="M2300" s="1477">
        <v>1.3269E-2</v>
      </c>
      <c r="N2300" s="1478">
        <v>1.6339354321445652</v>
      </c>
      <c r="O2300" s="1478"/>
    </row>
    <row r="2301" spans="11:15">
      <c r="K2301" s="1475">
        <v>44358</v>
      </c>
      <c r="L2301" s="1476" t="s">
        <v>2127</v>
      </c>
      <c r="M2301" s="1477">
        <v>1.3269E-2</v>
      </c>
      <c r="N2301" s="1478">
        <v>1.6341522390370564</v>
      </c>
      <c r="O2301" s="1478"/>
    </row>
    <row r="2302" spans="11:15">
      <c r="K2302" s="1475">
        <v>44359</v>
      </c>
      <c r="L2302" s="1476"/>
      <c r="M2302" s="1477">
        <v>0</v>
      </c>
      <c r="N2302" s="1478">
        <v>1.6341522390370564</v>
      </c>
      <c r="O2302" s="1478"/>
    </row>
    <row r="2303" spans="11:15">
      <c r="K2303" s="1475">
        <v>44360</v>
      </c>
      <c r="L2303" s="1476"/>
      <c r="M2303" s="1477">
        <v>0</v>
      </c>
      <c r="N2303" s="1478">
        <v>1.6341522390370564</v>
      </c>
      <c r="O2303" s="1478"/>
    </row>
    <row r="2304" spans="11:15">
      <c r="K2304" s="1475">
        <v>44361</v>
      </c>
      <c r="L2304" s="1476" t="s">
        <v>2127</v>
      </c>
      <c r="M2304" s="1477">
        <v>1.3269E-2</v>
      </c>
      <c r="N2304" s="1478">
        <v>1.6343690746976542</v>
      </c>
      <c r="O2304" s="1478"/>
    </row>
    <row r="2305" spans="11:15">
      <c r="K2305" s="1475">
        <v>44362</v>
      </c>
      <c r="L2305" s="1476" t="s">
        <v>2127</v>
      </c>
      <c r="M2305" s="1477">
        <v>1.3269E-2</v>
      </c>
      <c r="N2305" s="1478">
        <v>1.634585939130176</v>
      </c>
      <c r="O2305" s="1478"/>
    </row>
    <row r="2306" spans="11:15">
      <c r="K2306" s="1475">
        <v>44363</v>
      </c>
      <c r="L2306" s="1476" t="s">
        <v>2127</v>
      </c>
      <c r="M2306" s="1477">
        <v>1.3269E-2</v>
      </c>
      <c r="N2306" s="1478">
        <v>1.6348028323384394</v>
      </c>
      <c r="O2306" s="1478"/>
    </row>
    <row r="2307" spans="11:15">
      <c r="K2307" s="1475">
        <v>44364</v>
      </c>
      <c r="L2307" s="1476" t="s">
        <v>2127</v>
      </c>
      <c r="M2307" s="1477">
        <v>1.6136999999999999E-2</v>
      </c>
      <c r="N2307" s="1478">
        <v>1.635066640471494</v>
      </c>
      <c r="O2307" s="1478"/>
    </row>
    <row r="2308" spans="11:15">
      <c r="K2308" s="1475">
        <v>44365</v>
      </c>
      <c r="L2308" s="1476" t="s">
        <v>2127</v>
      </c>
      <c r="M2308" s="1477">
        <v>1.6136999999999999E-2</v>
      </c>
      <c r="N2308" s="1478">
        <v>1.6353304911752669</v>
      </c>
      <c r="O2308" s="1478"/>
    </row>
    <row r="2309" spans="11:15">
      <c r="K2309" s="1475">
        <v>44366</v>
      </c>
      <c r="L2309" s="1476"/>
      <c r="M2309" s="1477">
        <v>0</v>
      </c>
      <c r="N2309" s="1478">
        <v>1.6353304911752669</v>
      </c>
      <c r="O2309" s="1478"/>
    </row>
    <row r="2310" spans="11:15">
      <c r="K2310" s="1475">
        <v>44367</v>
      </c>
      <c r="L2310" s="1476"/>
      <c r="M2310" s="1477">
        <v>0</v>
      </c>
      <c r="N2310" s="1478">
        <v>1.6353304911752669</v>
      </c>
      <c r="O2310" s="1478"/>
    </row>
    <row r="2311" spans="11:15">
      <c r="K2311" s="1475">
        <v>44368</v>
      </c>
      <c r="L2311" s="1476" t="s">
        <v>2127</v>
      </c>
      <c r="M2311" s="1477">
        <v>1.6136999999999999E-2</v>
      </c>
      <c r="N2311" s="1478">
        <v>1.6355943844566279</v>
      </c>
      <c r="O2311" s="1478"/>
    </row>
    <row r="2312" spans="11:15">
      <c r="K2312" s="1475">
        <v>44369</v>
      </c>
      <c r="L2312" s="1476" t="s">
        <v>2127</v>
      </c>
      <c r="M2312" s="1477">
        <v>1.6136999999999999E-2</v>
      </c>
      <c r="N2312" s="1478">
        <v>1.6358583203224477</v>
      </c>
      <c r="O2312" s="1478"/>
    </row>
    <row r="2313" spans="11:15">
      <c r="K2313" s="1475">
        <v>44370</v>
      </c>
      <c r="L2313" s="1476" t="s">
        <v>2127</v>
      </c>
      <c r="M2313" s="1477">
        <v>1.6136999999999999E-2</v>
      </c>
      <c r="N2313" s="1478">
        <v>1.6361222987795982</v>
      </c>
      <c r="O2313" s="1478"/>
    </row>
    <row r="2314" spans="11:15">
      <c r="K2314" s="1475">
        <v>44371</v>
      </c>
      <c r="L2314" s="1476" t="s">
        <v>2127</v>
      </c>
      <c r="M2314" s="1477">
        <v>1.6136999999999999E-2</v>
      </c>
      <c r="N2314" s="1478">
        <v>1.6363863198349524</v>
      </c>
      <c r="O2314" s="1478"/>
    </row>
    <row r="2315" spans="11:15">
      <c r="K2315" s="1475">
        <v>44372</v>
      </c>
      <c r="L2315" s="1476" t="s">
        <v>2127</v>
      </c>
      <c r="M2315" s="1477">
        <v>1.6136999999999999E-2</v>
      </c>
      <c r="N2315" s="1478">
        <v>1.6366503834953843</v>
      </c>
      <c r="O2315" s="1478"/>
    </row>
    <row r="2316" spans="11:15">
      <c r="K2316" s="1475">
        <v>44373</v>
      </c>
      <c r="L2316" s="1476"/>
      <c r="M2316" s="1477">
        <v>0</v>
      </c>
      <c r="N2316" s="1478">
        <v>1.6366503834953843</v>
      </c>
      <c r="O2316" s="1478"/>
    </row>
    <row r="2317" spans="11:15">
      <c r="K2317" s="1475">
        <v>44374</v>
      </c>
      <c r="L2317" s="1476"/>
      <c r="M2317" s="1477">
        <v>0</v>
      </c>
      <c r="N2317" s="1478">
        <v>1.6366503834953843</v>
      </c>
      <c r="O2317" s="1478"/>
    </row>
    <row r="2318" spans="11:15">
      <c r="K2318" s="1475">
        <v>44375</v>
      </c>
      <c r="L2318" s="1476" t="s">
        <v>2127</v>
      </c>
      <c r="M2318" s="1477">
        <v>1.6136999999999999E-2</v>
      </c>
      <c r="N2318" s="1478">
        <v>1.636914489767769</v>
      </c>
      <c r="O2318" s="1478"/>
    </row>
    <row r="2319" spans="11:15">
      <c r="K2319" s="1475">
        <v>44376</v>
      </c>
      <c r="L2319" s="1476" t="s">
        <v>2127</v>
      </c>
      <c r="M2319" s="1477">
        <v>1.6136999999999999E-2</v>
      </c>
      <c r="N2319" s="1478">
        <v>1.6371786386589828</v>
      </c>
      <c r="O2319" s="1478"/>
    </row>
    <row r="2320" spans="11:15">
      <c r="K2320" s="1475">
        <v>44377</v>
      </c>
      <c r="L2320" s="1476" t="s">
        <v>2127</v>
      </c>
      <c r="M2320" s="1477">
        <v>1.6136999999999999E-2</v>
      </c>
      <c r="N2320" s="1478">
        <v>1.6374428301759034</v>
      </c>
      <c r="O2320" s="1478"/>
    </row>
    <row r="2321" spans="11:15">
      <c r="K2321" s="1475">
        <v>44378</v>
      </c>
      <c r="L2321" s="1476" t="s">
        <v>2127</v>
      </c>
      <c r="M2321" s="1477">
        <v>1.6136999999999999E-2</v>
      </c>
      <c r="N2321" s="1478">
        <v>1.637707064325409</v>
      </c>
      <c r="O2321" s="1478"/>
    </row>
    <row r="2322" spans="11:15">
      <c r="K2322" s="1475">
        <v>44379</v>
      </c>
      <c r="L2322" s="1476" t="s">
        <v>2127</v>
      </c>
      <c r="M2322" s="1477">
        <v>1.6136999999999999E-2</v>
      </c>
      <c r="N2322" s="1478">
        <v>1.6379713411143793</v>
      </c>
      <c r="O2322" s="1478"/>
    </row>
    <row r="2323" spans="11:15">
      <c r="K2323" s="1475">
        <v>44380</v>
      </c>
      <c r="L2323" s="1476"/>
      <c r="M2323" s="1477">
        <v>0</v>
      </c>
      <c r="N2323" s="1478">
        <v>1.6379713411143793</v>
      </c>
      <c r="O2323" s="1478"/>
    </row>
    <row r="2324" spans="11:15">
      <c r="K2324" s="1475">
        <v>44381</v>
      </c>
      <c r="L2324" s="1476"/>
      <c r="M2324" s="1477">
        <v>0</v>
      </c>
      <c r="N2324" s="1478">
        <v>1.6379713411143793</v>
      </c>
      <c r="O2324" s="1478"/>
    </row>
    <row r="2325" spans="11:15">
      <c r="K2325" s="1475">
        <v>44382</v>
      </c>
      <c r="L2325" s="1476" t="s">
        <v>2127</v>
      </c>
      <c r="M2325" s="1477">
        <v>1.6136999999999999E-2</v>
      </c>
      <c r="N2325" s="1478">
        <v>1.638235660549695</v>
      </c>
      <c r="O2325" s="1478"/>
    </row>
    <row r="2326" spans="11:15">
      <c r="K2326" s="1475">
        <v>44383</v>
      </c>
      <c r="L2326" s="1476" t="s">
        <v>2127</v>
      </c>
      <c r="M2326" s="1477">
        <v>1.6136999999999999E-2</v>
      </c>
      <c r="N2326" s="1478">
        <v>1.638500022638238</v>
      </c>
      <c r="O2326" s="1478"/>
    </row>
    <row r="2327" spans="11:15">
      <c r="K2327" s="1475">
        <v>44384</v>
      </c>
      <c r="L2327" s="1476" t="s">
        <v>2127</v>
      </c>
      <c r="M2327" s="1477">
        <v>1.6136999999999999E-2</v>
      </c>
      <c r="N2327" s="1478">
        <v>1.6387644273868913</v>
      </c>
      <c r="O2327" s="1478"/>
    </row>
    <row r="2328" spans="11:15">
      <c r="K2328" s="1475">
        <v>44385</v>
      </c>
      <c r="L2328" s="1476" t="s">
        <v>2127</v>
      </c>
      <c r="M2328" s="1477">
        <v>1.6136999999999999E-2</v>
      </c>
      <c r="N2328" s="1478">
        <v>1.6390288748025388</v>
      </c>
      <c r="O2328" s="1478"/>
    </row>
    <row r="2329" spans="11:15">
      <c r="K2329" s="1475">
        <v>44386</v>
      </c>
      <c r="L2329" s="1476" t="s">
        <v>2127</v>
      </c>
      <c r="M2329" s="1477">
        <v>1.6136999999999999E-2</v>
      </c>
      <c r="N2329" s="1478">
        <v>1.6392933648920658</v>
      </c>
      <c r="O2329" s="1478"/>
    </row>
    <row r="2330" spans="11:15">
      <c r="K2330" s="1475">
        <v>44387</v>
      </c>
      <c r="L2330" s="1476"/>
      <c r="M2330" s="1477">
        <v>0</v>
      </c>
      <c r="N2330" s="1478">
        <v>1.6392933648920658</v>
      </c>
      <c r="O2330" s="1478"/>
    </row>
    <row r="2331" spans="11:15">
      <c r="K2331" s="1475">
        <v>44388</v>
      </c>
      <c r="L2331" s="1476"/>
      <c r="M2331" s="1477">
        <v>0</v>
      </c>
      <c r="N2331" s="1478">
        <v>1.6392933648920658</v>
      </c>
      <c r="O2331" s="1478"/>
    </row>
    <row r="2332" spans="11:15">
      <c r="K2332" s="1475">
        <v>44389</v>
      </c>
      <c r="L2332" s="1476" t="s">
        <v>2127</v>
      </c>
      <c r="M2332" s="1477">
        <v>1.6136999999999999E-2</v>
      </c>
      <c r="N2332" s="1478">
        <v>1.6395578976623586</v>
      </c>
      <c r="O2332" s="1478"/>
    </row>
    <row r="2333" spans="11:15">
      <c r="K2333" s="1475">
        <v>44390</v>
      </c>
      <c r="L2333" s="1476" t="s">
        <v>2127</v>
      </c>
      <c r="M2333" s="1477">
        <v>1.6136999999999999E-2</v>
      </c>
      <c r="N2333" s="1478">
        <v>1.6398224731203044</v>
      </c>
      <c r="O2333" s="1478"/>
    </row>
    <row r="2334" spans="11:15">
      <c r="K2334" s="1475">
        <v>44391</v>
      </c>
      <c r="L2334" s="1476" t="s">
        <v>2127</v>
      </c>
      <c r="M2334" s="1477">
        <v>1.6136999999999999E-2</v>
      </c>
      <c r="N2334" s="1478">
        <v>1.6400870912727918</v>
      </c>
      <c r="O2334" s="1478"/>
    </row>
    <row r="2335" spans="11:15">
      <c r="K2335" s="1475">
        <v>44392</v>
      </c>
      <c r="L2335" s="1476" t="s">
        <v>2127</v>
      </c>
      <c r="M2335" s="1477">
        <v>1.6136999999999999E-2</v>
      </c>
      <c r="N2335" s="1478">
        <v>1.6403517521267106</v>
      </c>
      <c r="O2335" s="1478"/>
    </row>
    <row r="2336" spans="11:15">
      <c r="K2336" s="1475">
        <v>44393</v>
      </c>
      <c r="L2336" s="1476" t="s">
        <v>2127</v>
      </c>
      <c r="M2336" s="1477">
        <v>1.6136999999999999E-2</v>
      </c>
      <c r="N2336" s="1478">
        <v>1.6406164556889513</v>
      </c>
      <c r="O2336" s="1478"/>
    </row>
    <row r="2337" spans="11:15">
      <c r="K2337" s="1475">
        <v>44394</v>
      </c>
      <c r="L2337" s="1476"/>
      <c r="M2337" s="1477">
        <v>0</v>
      </c>
      <c r="N2337" s="1478">
        <v>1.6406164556889513</v>
      </c>
      <c r="O2337" s="1478"/>
    </row>
    <row r="2338" spans="11:15">
      <c r="K2338" s="1475">
        <v>44395</v>
      </c>
      <c r="L2338" s="1476"/>
      <c r="M2338" s="1477">
        <v>0</v>
      </c>
      <c r="N2338" s="1478">
        <v>1.6406164556889513</v>
      </c>
      <c r="O2338" s="1478"/>
    </row>
    <row r="2339" spans="11:15">
      <c r="K2339" s="1475">
        <v>44396</v>
      </c>
      <c r="L2339" s="1476" t="s">
        <v>2127</v>
      </c>
      <c r="M2339" s="1477">
        <v>1.6136999999999999E-2</v>
      </c>
      <c r="N2339" s="1478">
        <v>1.6408812019664059</v>
      </c>
      <c r="O2339" s="1478"/>
    </row>
    <row r="2340" spans="11:15">
      <c r="K2340" s="1475">
        <v>44397</v>
      </c>
      <c r="L2340" s="1476" t="s">
        <v>2127</v>
      </c>
      <c r="M2340" s="1477">
        <v>1.6136999999999999E-2</v>
      </c>
      <c r="N2340" s="1478">
        <v>1.6411459909659674</v>
      </c>
      <c r="O2340" s="1478"/>
    </row>
    <row r="2341" spans="11:15">
      <c r="K2341" s="1475">
        <v>44398</v>
      </c>
      <c r="L2341" s="1476" t="s">
        <v>2127</v>
      </c>
      <c r="M2341" s="1477">
        <v>1.6136999999999999E-2</v>
      </c>
      <c r="N2341" s="1478">
        <v>1.6414108226945296</v>
      </c>
      <c r="O2341" s="1478"/>
    </row>
    <row r="2342" spans="11:15">
      <c r="K2342" s="1475">
        <v>44399</v>
      </c>
      <c r="L2342" s="1476" t="s">
        <v>2127</v>
      </c>
      <c r="M2342" s="1477">
        <v>1.6136999999999999E-2</v>
      </c>
      <c r="N2342" s="1478">
        <v>1.6416756971589879</v>
      </c>
      <c r="O2342" s="1478"/>
    </row>
    <row r="2343" spans="11:15">
      <c r="K2343" s="1475">
        <v>44400</v>
      </c>
      <c r="L2343" s="1476" t="s">
        <v>2127</v>
      </c>
      <c r="M2343" s="1477">
        <v>1.6136999999999999E-2</v>
      </c>
      <c r="N2343" s="1478">
        <v>1.6419406143662385</v>
      </c>
      <c r="O2343" s="1478"/>
    </row>
    <row r="2344" spans="11:15">
      <c r="K2344" s="1475">
        <v>44401</v>
      </c>
      <c r="L2344" s="1476"/>
      <c r="M2344" s="1477">
        <v>0</v>
      </c>
      <c r="N2344" s="1478">
        <v>1.6419406143662385</v>
      </c>
      <c r="O2344" s="1478"/>
    </row>
    <row r="2345" spans="11:15">
      <c r="K2345" s="1475">
        <v>44402</v>
      </c>
      <c r="L2345" s="1476"/>
      <c r="M2345" s="1477">
        <v>0</v>
      </c>
      <c r="N2345" s="1478">
        <v>1.6419406143662385</v>
      </c>
      <c r="O2345" s="1478"/>
    </row>
    <row r="2346" spans="11:15">
      <c r="K2346" s="1475">
        <v>44403</v>
      </c>
      <c r="L2346" s="1476" t="s">
        <v>2127</v>
      </c>
      <c r="M2346" s="1477">
        <v>1.6136999999999999E-2</v>
      </c>
      <c r="N2346" s="1478">
        <v>1.6422055743231789</v>
      </c>
      <c r="O2346" s="1478"/>
    </row>
    <row r="2347" spans="11:15">
      <c r="K2347" s="1475">
        <v>44404</v>
      </c>
      <c r="L2347" s="1476" t="s">
        <v>2127</v>
      </c>
      <c r="M2347" s="1477">
        <v>1.6136999999999999E-2</v>
      </c>
      <c r="N2347" s="1478">
        <v>1.6424705770367076</v>
      </c>
      <c r="O2347" s="1478"/>
    </row>
    <row r="2348" spans="11:15">
      <c r="K2348" s="1475">
        <v>44405</v>
      </c>
      <c r="L2348" s="1476" t="s">
        <v>2127</v>
      </c>
      <c r="M2348" s="1477">
        <v>1.6136999999999999E-2</v>
      </c>
      <c r="N2348" s="1478">
        <v>1.6427356225137242</v>
      </c>
      <c r="O2348" s="1478"/>
    </row>
    <row r="2349" spans="11:15">
      <c r="K2349" s="1475">
        <v>44406</v>
      </c>
      <c r="L2349" s="1476" t="s">
        <v>2127</v>
      </c>
      <c r="M2349" s="1477">
        <v>1.6136999999999999E-2</v>
      </c>
      <c r="N2349" s="1478">
        <v>1.6430007107611293</v>
      </c>
      <c r="O2349" s="1478"/>
    </row>
    <row r="2350" spans="11:15">
      <c r="K2350" s="1475">
        <v>44407</v>
      </c>
      <c r="L2350" s="1476" t="s">
        <v>2127</v>
      </c>
      <c r="M2350" s="1477">
        <v>1.6136999999999999E-2</v>
      </c>
      <c r="N2350" s="1478">
        <v>1.6432658417858248</v>
      </c>
      <c r="O2350" s="1478"/>
    </row>
    <row r="2351" spans="11:15">
      <c r="K2351" s="1475">
        <v>44408</v>
      </c>
      <c r="L2351" s="1476"/>
      <c r="M2351" s="1477">
        <v>0</v>
      </c>
      <c r="N2351" s="1478">
        <v>1.6432658417858248</v>
      </c>
      <c r="O2351" s="1478"/>
    </row>
    <row r="2352" spans="11:15">
      <c r="K2352" s="1475">
        <v>44409</v>
      </c>
      <c r="L2352" s="1476"/>
      <c r="M2352" s="1477">
        <v>0</v>
      </c>
      <c r="N2352" s="1478">
        <v>1.6432658417858248</v>
      </c>
      <c r="O2352" s="1478"/>
    </row>
    <row r="2353" spans="11:15">
      <c r="K2353" s="1475">
        <v>44410</v>
      </c>
      <c r="L2353" s="1476" t="s">
        <v>2127</v>
      </c>
      <c r="M2353" s="1477">
        <v>1.6136999999999999E-2</v>
      </c>
      <c r="N2353" s="1478">
        <v>1.6435310155947138</v>
      </c>
      <c r="O2353" s="1478"/>
    </row>
    <row r="2354" spans="11:15">
      <c r="K2354" s="1475">
        <v>44411</v>
      </c>
      <c r="L2354" s="1476" t="s">
        <v>2127</v>
      </c>
      <c r="M2354" s="1477">
        <v>1.6136999999999999E-2</v>
      </c>
      <c r="N2354" s="1478">
        <v>1.6437962321947004</v>
      </c>
      <c r="O2354" s="1478"/>
    </row>
    <row r="2355" spans="11:15">
      <c r="K2355" s="1475">
        <v>44412</v>
      </c>
      <c r="L2355" s="1476" t="s">
        <v>2127</v>
      </c>
      <c r="M2355" s="1477">
        <v>1.6136999999999999E-2</v>
      </c>
      <c r="N2355" s="1478">
        <v>1.6440614915926897</v>
      </c>
      <c r="O2355" s="1478"/>
    </row>
    <row r="2356" spans="11:15">
      <c r="K2356" s="1475">
        <v>44413</v>
      </c>
      <c r="L2356" s="1476" t="s">
        <v>2127</v>
      </c>
      <c r="M2356" s="1477">
        <v>1.993E-2</v>
      </c>
      <c r="N2356" s="1478">
        <v>1.6443891530479642</v>
      </c>
      <c r="O2356" s="1478"/>
    </row>
    <row r="2357" spans="11:15">
      <c r="K2357" s="1475">
        <v>44414</v>
      </c>
      <c r="L2357" s="1476" t="s">
        <v>2127</v>
      </c>
      <c r="M2357" s="1477">
        <v>1.993E-2</v>
      </c>
      <c r="N2357" s="1478">
        <v>1.6447168798061667</v>
      </c>
      <c r="O2357" s="1478"/>
    </row>
    <row r="2358" spans="11:15">
      <c r="K2358" s="1475">
        <v>44415</v>
      </c>
      <c r="L2358" s="1476"/>
      <c r="M2358" s="1477">
        <v>0</v>
      </c>
      <c r="N2358" s="1478">
        <v>1.6447168798061667</v>
      </c>
      <c r="O2358" s="1478"/>
    </row>
    <row r="2359" spans="11:15">
      <c r="K2359" s="1475">
        <v>44416</v>
      </c>
      <c r="L2359" s="1476"/>
      <c r="M2359" s="1477">
        <v>0</v>
      </c>
      <c r="N2359" s="1478">
        <v>1.6447168798061667</v>
      </c>
      <c r="O2359" s="1478"/>
    </row>
    <row r="2360" spans="11:15">
      <c r="K2360" s="1475">
        <v>44417</v>
      </c>
      <c r="L2360" s="1476" t="s">
        <v>2127</v>
      </c>
      <c r="M2360" s="1477">
        <v>1.993E-2</v>
      </c>
      <c r="N2360" s="1478">
        <v>1.645044671880312</v>
      </c>
      <c r="O2360" s="1478"/>
    </row>
    <row r="2361" spans="11:15">
      <c r="K2361" s="1475">
        <v>44418</v>
      </c>
      <c r="L2361" s="1476" t="s">
        <v>2127</v>
      </c>
      <c r="M2361" s="1477">
        <v>1.993E-2</v>
      </c>
      <c r="N2361" s="1478">
        <v>1.6453725292834178</v>
      </c>
      <c r="O2361" s="1478"/>
    </row>
    <row r="2362" spans="11:15">
      <c r="K2362" s="1475">
        <v>44419</v>
      </c>
      <c r="L2362" s="1476" t="s">
        <v>2127</v>
      </c>
      <c r="M2362" s="1477">
        <v>1.993E-2</v>
      </c>
      <c r="N2362" s="1478">
        <v>1.6457004520285041</v>
      </c>
      <c r="O2362" s="1478"/>
    </row>
    <row r="2363" spans="11:15">
      <c r="K2363" s="1475">
        <v>44420</v>
      </c>
      <c r="L2363" s="1476" t="s">
        <v>2127</v>
      </c>
      <c r="M2363" s="1477">
        <v>1.993E-2</v>
      </c>
      <c r="N2363" s="1478">
        <v>1.6460284401285934</v>
      </c>
      <c r="O2363" s="1478"/>
    </row>
    <row r="2364" spans="11:15">
      <c r="K2364" s="1475">
        <v>44421</v>
      </c>
      <c r="L2364" s="1476" t="s">
        <v>2127</v>
      </c>
      <c r="M2364" s="1477">
        <v>1.993E-2</v>
      </c>
      <c r="N2364" s="1478">
        <v>1.646356493596711</v>
      </c>
      <c r="O2364" s="1478"/>
    </row>
    <row r="2365" spans="11:15">
      <c r="K2365" s="1475">
        <v>44422</v>
      </c>
      <c r="L2365" s="1476"/>
      <c r="M2365" s="1477">
        <v>0</v>
      </c>
      <c r="N2365" s="1478">
        <v>1.646356493596711</v>
      </c>
      <c r="O2365" s="1478"/>
    </row>
    <row r="2366" spans="11:15">
      <c r="K2366" s="1475">
        <v>44423</v>
      </c>
      <c r="L2366" s="1476"/>
      <c r="M2366" s="1477">
        <v>0</v>
      </c>
      <c r="N2366" s="1478">
        <v>1.646356493596711</v>
      </c>
      <c r="O2366" s="1478"/>
    </row>
    <row r="2367" spans="11:15">
      <c r="K2367" s="1475">
        <v>44424</v>
      </c>
      <c r="L2367" s="1476" t="s">
        <v>2127</v>
      </c>
      <c r="M2367" s="1477">
        <v>1.993E-2</v>
      </c>
      <c r="N2367" s="1478">
        <v>1.6466846124458849</v>
      </c>
      <c r="O2367" s="1478"/>
    </row>
    <row r="2368" spans="11:15">
      <c r="K2368" s="1475">
        <v>44425</v>
      </c>
      <c r="L2368" s="1476" t="s">
        <v>2127</v>
      </c>
      <c r="M2368" s="1477">
        <v>1.993E-2</v>
      </c>
      <c r="N2368" s="1478">
        <v>1.6470127966891455</v>
      </c>
      <c r="O2368" s="1478"/>
    </row>
    <row r="2369" spans="11:15">
      <c r="K2369" s="1475">
        <v>44426</v>
      </c>
      <c r="L2369" s="1476" t="s">
        <v>2127</v>
      </c>
      <c r="M2369" s="1477">
        <v>1.993E-2</v>
      </c>
      <c r="N2369" s="1478">
        <v>1.6473410463395257</v>
      </c>
      <c r="O2369" s="1478"/>
    </row>
    <row r="2370" spans="11:15">
      <c r="K2370" s="1475">
        <v>44427</v>
      </c>
      <c r="L2370" s="1476" t="s">
        <v>2127</v>
      </c>
      <c r="M2370" s="1477">
        <v>1.993E-2</v>
      </c>
      <c r="N2370" s="1478">
        <v>1.6476693614100613</v>
      </c>
      <c r="O2370" s="1478"/>
    </row>
    <row r="2371" spans="11:15">
      <c r="K2371" s="1475">
        <v>44428</v>
      </c>
      <c r="L2371" s="1476" t="s">
        <v>2127</v>
      </c>
      <c r="M2371" s="1477">
        <v>1.993E-2</v>
      </c>
      <c r="N2371" s="1478">
        <v>1.6479977419137903</v>
      </c>
      <c r="O2371" s="1478"/>
    </row>
    <row r="2372" spans="11:15">
      <c r="K2372" s="1475">
        <v>44429</v>
      </c>
      <c r="L2372" s="1476"/>
      <c r="M2372" s="1477">
        <v>0</v>
      </c>
      <c r="N2372" s="1478">
        <v>1.6479977419137903</v>
      </c>
      <c r="O2372" s="1478"/>
    </row>
    <row r="2373" spans="11:15">
      <c r="K2373" s="1475">
        <v>44430</v>
      </c>
      <c r="L2373" s="1476"/>
      <c r="M2373" s="1477">
        <v>0</v>
      </c>
      <c r="N2373" s="1478">
        <v>1.6479977419137903</v>
      </c>
      <c r="O2373" s="1478"/>
    </row>
    <row r="2374" spans="11:15">
      <c r="K2374" s="1475">
        <v>44431</v>
      </c>
      <c r="L2374" s="1476" t="s">
        <v>2127</v>
      </c>
      <c r="M2374" s="1477">
        <v>1.993E-2</v>
      </c>
      <c r="N2374" s="1478">
        <v>1.6483261878637538</v>
      </c>
      <c r="O2374" s="1478"/>
    </row>
    <row r="2375" spans="11:15">
      <c r="K2375" s="1475">
        <v>44432</v>
      </c>
      <c r="L2375" s="1476" t="s">
        <v>2127</v>
      </c>
      <c r="M2375" s="1477">
        <v>1.993E-2</v>
      </c>
      <c r="N2375" s="1478">
        <v>1.6486546992729951</v>
      </c>
      <c r="O2375" s="1478"/>
    </row>
    <row r="2376" spans="11:15">
      <c r="K2376" s="1475">
        <v>44433</v>
      </c>
      <c r="L2376" s="1476" t="s">
        <v>2127</v>
      </c>
      <c r="M2376" s="1477">
        <v>1.993E-2</v>
      </c>
      <c r="N2376" s="1478">
        <v>1.6489832761545602</v>
      </c>
      <c r="O2376" s="1478"/>
    </row>
    <row r="2377" spans="11:15">
      <c r="K2377" s="1475">
        <v>44434</v>
      </c>
      <c r="L2377" s="1476" t="s">
        <v>2127</v>
      </c>
      <c r="M2377" s="1477">
        <v>1.993E-2</v>
      </c>
      <c r="N2377" s="1478">
        <v>1.6493119185214977</v>
      </c>
      <c r="O2377" s="1478"/>
    </row>
    <row r="2378" spans="11:15">
      <c r="K2378" s="1475">
        <v>44435</v>
      </c>
      <c r="L2378" s="1476" t="s">
        <v>2127</v>
      </c>
      <c r="M2378" s="1477">
        <v>1.993E-2</v>
      </c>
      <c r="N2378" s="1478">
        <v>1.649640626386859</v>
      </c>
      <c r="O2378" s="1478"/>
    </row>
    <row r="2379" spans="11:15">
      <c r="K2379" s="1475">
        <v>44436</v>
      </c>
      <c r="L2379" s="1476"/>
      <c r="M2379" s="1477">
        <v>0</v>
      </c>
      <c r="N2379" s="1478">
        <v>1.649640626386859</v>
      </c>
      <c r="O2379" s="1478"/>
    </row>
    <row r="2380" spans="11:15">
      <c r="K2380" s="1475">
        <v>44437</v>
      </c>
      <c r="L2380" s="1476"/>
      <c r="M2380" s="1477">
        <v>0</v>
      </c>
      <c r="N2380" s="1478">
        <v>1.649640626386859</v>
      </c>
      <c r="O2380" s="1478"/>
    </row>
    <row r="2381" spans="11:15">
      <c r="K2381" s="1475">
        <v>44438</v>
      </c>
      <c r="L2381" s="1476" t="s">
        <v>2127</v>
      </c>
      <c r="M2381" s="1477">
        <v>1.993E-2</v>
      </c>
      <c r="N2381" s="1478">
        <v>1.6499693997636979</v>
      </c>
      <c r="O2381" s="1478"/>
    </row>
    <row r="2382" spans="11:15">
      <c r="K2382" s="1475">
        <v>44439</v>
      </c>
      <c r="L2382" s="1476" t="s">
        <v>2127</v>
      </c>
      <c r="M2382" s="1477">
        <v>1.993E-2</v>
      </c>
      <c r="N2382" s="1478">
        <v>1.6502982386650709</v>
      </c>
      <c r="O2382" s="1478"/>
    </row>
    <row r="2383" spans="11:15">
      <c r="K2383" s="1475">
        <v>44440</v>
      </c>
      <c r="L2383" s="1476" t="s">
        <v>2127</v>
      </c>
      <c r="M2383" s="1477">
        <v>1.993E-2</v>
      </c>
      <c r="N2383" s="1478">
        <v>1.6506271431040369</v>
      </c>
      <c r="O2383" s="1478"/>
    </row>
    <row r="2384" spans="11:15">
      <c r="K2384" s="1475">
        <v>44441</v>
      </c>
      <c r="L2384" s="1476" t="s">
        <v>2127</v>
      </c>
      <c r="M2384" s="1477">
        <v>1.993E-2</v>
      </c>
      <c r="N2384" s="1478">
        <v>1.6509561130936576</v>
      </c>
      <c r="O2384" s="1478"/>
    </row>
    <row r="2385" spans="11:15">
      <c r="K2385" s="1475">
        <v>44442</v>
      </c>
      <c r="L2385" s="1476" t="s">
        <v>2127</v>
      </c>
      <c r="M2385" s="1477">
        <v>1.993E-2</v>
      </c>
      <c r="N2385" s="1478">
        <v>1.6512851486469973</v>
      </c>
      <c r="O2385" s="1478"/>
    </row>
    <row r="2386" spans="11:15">
      <c r="K2386" s="1475">
        <v>44443</v>
      </c>
      <c r="L2386" s="1476"/>
      <c r="M2386" s="1477">
        <v>0</v>
      </c>
      <c r="N2386" s="1478">
        <v>1.6512851486469973</v>
      </c>
      <c r="O2386" s="1478"/>
    </row>
    <row r="2387" spans="11:15">
      <c r="K2387" s="1475">
        <v>44444</v>
      </c>
      <c r="L2387" s="1476"/>
      <c r="M2387" s="1477">
        <v>0</v>
      </c>
      <c r="N2387" s="1478">
        <v>1.6512851486469973</v>
      </c>
      <c r="O2387" s="1478"/>
    </row>
    <row r="2388" spans="11:15">
      <c r="K2388" s="1475">
        <v>44445</v>
      </c>
      <c r="L2388" s="1476" t="s">
        <v>2127</v>
      </c>
      <c r="M2388" s="1477">
        <v>1.993E-2</v>
      </c>
      <c r="N2388" s="1478">
        <v>1.6516142497771227</v>
      </c>
      <c r="O2388" s="1478"/>
    </row>
    <row r="2389" spans="11:15">
      <c r="K2389" s="1475">
        <v>44446</v>
      </c>
      <c r="L2389" s="1476"/>
      <c r="M2389" s="1477">
        <v>0</v>
      </c>
      <c r="N2389" s="1478">
        <v>1.6516142497771227</v>
      </c>
      <c r="O2389" s="1478"/>
    </row>
    <row r="2390" spans="11:15">
      <c r="K2390" s="1475">
        <v>44447</v>
      </c>
      <c r="L2390" s="1476" t="s">
        <v>2127</v>
      </c>
      <c r="M2390" s="1477">
        <v>1.993E-2</v>
      </c>
      <c r="N2390" s="1478">
        <v>1.6519434164971032</v>
      </c>
      <c r="O2390" s="1478"/>
    </row>
    <row r="2391" spans="11:15">
      <c r="K2391" s="1475">
        <v>44448</v>
      </c>
      <c r="L2391" s="1476" t="s">
        <v>2127</v>
      </c>
      <c r="M2391" s="1477">
        <v>1.993E-2</v>
      </c>
      <c r="N2391" s="1478">
        <v>1.652272648820011</v>
      </c>
      <c r="O2391" s="1478"/>
    </row>
    <row r="2392" spans="11:15">
      <c r="K2392" s="1475">
        <v>44449</v>
      </c>
      <c r="L2392" s="1476" t="s">
        <v>2127</v>
      </c>
      <c r="M2392" s="1477">
        <v>1.993E-2</v>
      </c>
      <c r="N2392" s="1478">
        <v>1.6526019467589208</v>
      </c>
      <c r="O2392" s="1478"/>
    </row>
    <row r="2393" spans="11:15">
      <c r="K2393" s="1475">
        <v>44450</v>
      </c>
      <c r="L2393" s="1476"/>
      <c r="M2393" s="1477">
        <v>0</v>
      </c>
      <c r="N2393" s="1478">
        <v>1.6526019467589208</v>
      </c>
      <c r="O2393" s="1478"/>
    </row>
    <row r="2394" spans="11:15">
      <c r="K2394" s="1475">
        <v>44451</v>
      </c>
      <c r="L2394" s="1476"/>
      <c r="M2394" s="1477">
        <v>0</v>
      </c>
      <c r="N2394" s="1478">
        <v>1.6526019467589208</v>
      </c>
      <c r="O2394" s="1478"/>
    </row>
    <row r="2395" spans="11:15">
      <c r="K2395" s="1475">
        <v>44452</v>
      </c>
      <c r="L2395" s="1476" t="s">
        <v>2127</v>
      </c>
      <c r="M2395" s="1477">
        <v>1.993E-2</v>
      </c>
      <c r="N2395" s="1478">
        <v>1.6529313103269099</v>
      </c>
      <c r="O2395" s="1478"/>
    </row>
    <row r="2396" spans="11:15">
      <c r="K2396" s="1475">
        <v>44453</v>
      </c>
      <c r="L2396" s="1476" t="s">
        <v>2127</v>
      </c>
      <c r="M2396" s="1477">
        <v>1.993E-2</v>
      </c>
      <c r="N2396" s="1478">
        <v>1.653260739537058</v>
      </c>
      <c r="O2396" s="1478"/>
    </row>
    <row r="2397" spans="11:15">
      <c r="K2397" s="1475">
        <v>44454</v>
      </c>
      <c r="L2397" s="1476" t="s">
        <v>2127</v>
      </c>
      <c r="M2397" s="1477">
        <v>1.993E-2</v>
      </c>
      <c r="N2397" s="1478">
        <v>1.6535902344024478</v>
      </c>
      <c r="O2397" s="1478"/>
    </row>
    <row r="2398" spans="11:15">
      <c r="K2398" s="1475">
        <v>44455</v>
      </c>
      <c r="L2398" s="1476" t="s">
        <v>2127</v>
      </c>
      <c r="M2398" s="1477">
        <v>1.993E-2</v>
      </c>
      <c r="N2398" s="1478">
        <v>1.6539197949361641</v>
      </c>
      <c r="O2398" s="1478"/>
    </row>
    <row r="2399" spans="11:15">
      <c r="K2399" s="1475">
        <v>44456</v>
      </c>
      <c r="L2399" s="1476" t="s">
        <v>2127</v>
      </c>
      <c r="M2399" s="1477">
        <v>1.993E-2</v>
      </c>
      <c r="N2399" s="1478">
        <v>1.654249421151295</v>
      </c>
      <c r="O2399" s="1478"/>
    </row>
    <row r="2400" spans="11:15">
      <c r="K2400" s="1475">
        <v>44457</v>
      </c>
      <c r="L2400" s="1476"/>
      <c r="M2400" s="1477">
        <v>0</v>
      </c>
      <c r="N2400" s="1478">
        <v>1.654249421151295</v>
      </c>
      <c r="O2400" s="1478"/>
    </row>
    <row r="2401" spans="11:15">
      <c r="K2401" s="1475">
        <v>44458</v>
      </c>
      <c r="L2401" s="1476"/>
      <c r="M2401" s="1477">
        <v>0</v>
      </c>
      <c r="N2401" s="1478">
        <v>1.654249421151295</v>
      </c>
      <c r="O2401" s="1478"/>
    </row>
    <row r="2402" spans="11:15">
      <c r="K2402" s="1475">
        <v>44459</v>
      </c>
      <c r="L2402" s="1476" t="s">
        <v>2127</v>
      </c>
      <c r="M2402" s="1477">
        <v>1.993E-2</v>
      </c>
      <c r="N2402" s="1478">
        <v>1.6545791130609304</v>
      </c>
      <c r="O2402" s="1478"/>
    </row>
    <row r="2403" spans="11:15">
      <c r="K2403" s="1475">
        <v>44460</v>
      </c>
      <c r="L2403" s="1476" t="s">
        <v>2127</v>
      </c>
      <c r="M2403" s="1477">
        <v>1.993E-2</v>
      </c>
      <c r="N2403" s="1478">
        <v>1.6549088706781634</v>
      </c>
      <c r="O2403" s="1478"/>
    </row>
    <row r="2404" spans="11:15">
      <c r="K2404" s="1475">
        <v>44461</v>
      </c>
      <c r="L2404" s="1476" t="s">
        <v>2127</v>
      </c>
      <c r="M2404" s="1477">
        <v>1.993E-2</v>
      </c>
      <c r="N2404" s="1478">
        <v>1.6552386940160895</v>
      </c>
      <c r="O2404" s="1478"/>
    </row>
    <row r="2405" spans="11:15">
      <c r="K2405" s="1475">
        <v>44462</v>
      </c>
      <c r="L2405" s="1476" t="s">
        <v>2127</v>
      </c>
      <c r="M2405" s="1477">
        <v>2.3687E-2</v>
      </c>
      <c r="N2405" s="1478">
        <v>1.6556307704055411</v>
      </c>
      <c r="O2405" s="1478"/>
    </row>
    <row r="2406" spans="11:15">
      <c r="K2406" s="1475">
        <v>44463</v>
      </c>
      <c r="L2406" s="1476" t="s">
        <v>2127</v>
      </c>
      <c r="M2406" s="1477">
        <v>2.3687E-2</v>
      </c>
      <c r="N2406" s="1478">
        <v>1.656022939666127</v>
      </c>
      <c r="O2406" s="1478"/>
    </row>
    <row r="2407" spans="11:15">
      <c r="K2407" s="1475">
        <v>44464</v>
      </c>
      <c r="L2407" s="1476"/>
      <c r="M2407" s="1477">
        <v>0</v>
      </c>
      <c r="N2407" s="1478">
        <v>1.656022939666127</v>
      </c>
      <c r="O2407" s="1478"/>
    </row>
    <row r="2408" spans="11:15">
      <c r="K2408" s="1475">
        <v>44465</v>
      </c>
      <c r="L2408" s="1476"/>
      <c r="M2408" s="1477">
        <v>0</v>
      </c>
      <c r="N2408" s="1478">
        <v>1.656022939666127</v>
      </c>
      <c r="O2408" s="1478"/>
    </row>
    <row r="2409" spans="11:15">
      <c r="K2409" s="1475">
        <v>44466</v>
      </c>
      <c r="L2409" s="1476" t="s">
        <v>2127</v>
      </c>
      <c r="M2409" s="1477">
        <v>2.3687E-2</v>
      </c>
      <c r="N2409" s="1478">
        <v>1.6564152018198457</v>
      </c>
      <c r="O2409" s="1478"/>
    </row>
    <row r="2410" spans="11:15">
      <c r="K2410" s="1475">
        <v>44467</v>
      </c>
      <c r="L2410" s="1476" t="s">
        <v>2127</v>
      </c>
      <c r="M2410" s="1477">
        <v>2.3687E-2</v>
      </c>
      <c r="N2410" s="1478">
        <v>1.6568075568887006</v>
      </c>
      <c r="O2410" s="1478"/>
    </row>
    <row r="2411" spans="11:15">
      <c r="K2411" s="1475">
        <v>44468</v>
      </c>
      <c r="L2411" s="1476" t="s">
        <v>2127</v>
      </c>
      <c r="M2411" s="1477">
        <v>2.3687E-2</v>
      </c>
      <c r="N2411" s="1478">
        <v>1.6572000048947009</v>
      </c>
      <c r="O2411" s="1478"/>
    </row>
    <row r="2412" spans="11:15">
      <c r="K2412" s="1475">
        <v>44469</v>
      </c>
      <c r="L2412" s="1476" t="s">
        <v>2127</v>
      </c>
      <c r="M2412" s="1477">
        <v>2.3687E-2</v>
      </c>
      <c r="N2412" s="1478">
        <v>1.6575925458598602</v>
      </c>
      <c r="O2412" s="1478"/>
    </row>
    <row r="2413" spans="11:15">
      <c r="K2413" s="1475">
        <v>44470</v>
      </c>
      <c r="L2413" s="1476" t="s">
        <v>2127</v>
      </c>
      <c r="M2413" s="1477">
        <v>2.3687E-2</v>
      </c>
      <c r="N2413" s="1478">
        <v>1.657985179806198</v>
      </c>
      <c r="O2413" s="1478"/>
    </row>
    <row r="2414" spans="11:15">
      <c r="K2414" s="1475">
        <v>44471</v>
      </c>
      <c r="L2414" s="1476"/>
      <c r="M2414" s="1477">
        <v>0</v>
      </c>
      <c r="N2414" s="1478">
        <v>1.657985179806198</v>
      </c>
      <c r="O2414" s="1478"/>
    </row>
    <row r="2415" spans="11:15">
      <c r="K2415" s="1475">
        <v>44472</v>
      </c>
      <c r="L2415" s="1476"/>
      <c r="M2415" s="1477">
        <v>0</v>
      </c>
      <c r="N2415" s="1478">
        <v>1.657985179806198</v>
      </c>
      <c r="O2415" s="1478"/>
    </row>
    <row r="2416" spans="11:15">
      <c r="K2416" s="1475">
        <v>44473</v>
      </c>
      <c r="L2416" s="1476" t="s">
        <v>2127</v>
      </c>
      <c r="M2416" s="1477">
        <v>2.3687E-2</v>
      </c>
      <c r="N2416" s="1478">
        <v>1.6583779067557385</v>
      </c>
      <c r="O2416" s="1478"/>
    </row>
    <row r="2417" spans="11:15">
      <c r="K2417" s="1475">
        <v>44474</v>
      </c>
      <c r="L2417" s="1476" t="s">
        <v>2127</v>
      </c>
      <c r="M2417" s="1477">
        <v>2.3687E-2</v>
      </c>
      <c r="N2417" s="1478">
        <v>1.6587707267305116</v>
      </c>
      <c r="O2417" s="1478"/>
    </row>
    <row r="2418" spans="11:15">
      <c r="K2418" s="1475">
        <v>44475</v>
      </c>
      <c r="L2418" s="1476" t="s">
        <v>2127</v>
      </c>
      <c r="M2418" s="1477">
        <v>2.3687E-2</v>
      </c>
      <c r="N2418" s="1478">
        <v>1.6591636397525522</v>
      </c>
      <c r="O2418" s="1478"/>
    </row>
    <row r="2419" spans="11:15">
      <c r="K2419" s="1475">
        <v>44476</v>
      </c>
      <c r="L2419" s="1476" t="s">
        <v>2127</v>
      </c>
      <c r="M2419" s="1477">
        <v>2.3687E-2</v>
      </c>
      <c r="N2419" s="1478">
        <v>1.6595566458439004</v>
      </c>
      <c r="O2419" s="1478"/>
    </row>
    <row r="2420" spans="11:15">
      <c r="K2420" s="1475">
        <v>44477</v>
      </c>
      <c r="L2420" s="1476" t="s">
        <v>2127</v>
      </c>
      <c r="M2420" s="1477">
        <v>2.3687E-2</v>
      </c>
      <c r="N2420" s="1478">
        <v>1.6599497450266014</v>
      </c>
      <c r="O2420" s="1478"/>
    </row>
    <row r="2421" spans="11:15">
      <c r="K2421" s="1475">
        <v>44478</v>
      </c>
      <c r="L2421" s="1476"/>
      <c r="M2421" s="1477">
        <v>0</v>
      </c>
      <c r="N2421" s="1478">
        <v>1.6599497450266014</v>
      </c>
      <c r="O2421" s="1478"/>
    </row>
    <row r="2422" spans="11:15">
      <c r="K2422" s="1475">
        <v>44479</v>
      </c>
      <c r="L2422" s="1476"/>
      <c r="M2422" s="1477">
        <v>0</v>
      </c>
      <c r="N2422" s="1478">
        <v>1.6599497450266014</v>
      </c>
      <c r="O2422" s="1478"/>
    </row>
    <row r="2423" spans="11:15">
      <c r="K2423" s="1475">
        <v>44480</v>
      </c>
      <c r="L2423" s="1476" t="s">
        <v>2127</v>
      </c>
      <c r="M2423" s="1477">
        <v>2.3687E-2</v>
      </c>
      <c r="N2423" s="1478">
        <v>1.6603429373227059</v>
      </c>
      <c r="O2423" s="1478"/>
    </row>
    <row r="2424" spans="11:15">
      <c r="K2424" s="1475">
        <v>44481</v>
      </c>
      <c r="L2424" s="1476"/>
      <c r="M2424" s="1477">
        <v>0</v>
      </c>
      <c r="N2424" s="1478">
        <v>1.6603429373227059</v>
      </c>
      <c r="O2424" s="1478"/>
    </row>
    <row r="2425" spans="11:15">
      <c r="K2425" s="1475">
        <v>44482</v>
      </c>
      <c r="L2425" s="1476" t="s">
        <v>2127</v>
      </c>
      <c r="M2425" s="1477">
        <v>2.3687E-2</v>
      </c>
      <c r="N2425" s="1478">
        <v>1.6607362227542695</v>
      </c>
      <c r="O2425" s="1478"/>
    </row>
    <row r="2426" spans="11:15">
      <c r="K2426" s="1475">
        <v>44483</v>
      </c>
      <c r="L2426" s="1476" t="s">
        <v>2127</v>
      </c>
      <c r="M2426" s="1477">
        <v>2.3687E-2</v>
      </c>
      <c r="N2426" s="1478">
        <v>1.6611296013433532</v>
      </c>
      <c r="O2426" s="1478"/>
    </row>
    <row r="2427" spans="11:15">
      <c r="K2427" s="1475">
        <v>44484</v>
      </c>
      <c r="L2427" s="1476" t="s">
        <v>2127</v>
      </c>
      <c r="M2427" s="1477">
        <v>2.3687E-2</v>
      </c>
      <c r="N2427" s="1478">
        <v>1.6615230731120234</v>
      </c>
      <c r="O2427" s="1478"/>
    </row>
    <row r="2428" spans="11:15">
      <c r="K2428" s="1475">
        <v>44485</v>
      </c>
      <c r="L2428" s="1476"/>
      <c r="M2428" s="1477">
        <v>0</v>
      </c>
      <c r="N2428" s="1478">
        <v>1.6615230731120234</v>
      </c>
      <c r="O2428" s="1478"/>
    </row>
    <row r="2429" spans="11:15">
      <c r="K2429" s="1475">
        <v>44486</v>
      </c>
      <c r="L2429" s="1476"/>
      <c r="M2429" s="1477">
        <v>0</v>
      </c>
      <c r="N2429" s="1478">
        <v>1.6615230731120234</v>
      </c>
      <c r="O2429" s="1478"/>
    </row>
    <row r="2430" spans="11:15">
      <c r="K2430" s="1475">
        <v>44487</v>
      </c>
      <c r="L2430" s="1476" t="s">
        <v>2127</v>
      </c>
      <c r="M2430" s="1477">
        <v>2.3687E-2</v>
      </c>
      <c r="N2430" s="1478">
        <v>1.6619166380823513</v>
      </c>
      <c r="O2430" s="1478"/>
    </row>
    <row r="2431" spans="11:15">
      <c r="K2431" s="1475">
        <v>44488</v>
      </c>
      <c r="L2431" s="1476" t="s">
        <v>2127</v>
      </c>
      <c r="M2431" s="1477">
        <v>2.3687E-2</v>
      </c>
      <c r="N2431" s="1478">
        <v>1.6623102962764138</v>
      </c>
      <c r="O2431" s="1478"/>
    </row>
    <row r="2432" spans="11:15">
      <c r="K2432" s="1475">
        <v>44489</v>
      </c>
      <c r="L2432" s="1476" t="s">
        <v>2127</v>
      </c>
      <c r="M2432" s="1477">
        <v>2.3687E-2</v>
      </c>
      <c r="N2432" s="1478">
        <v>1.6627040477162927</v>
      </c>
      <c r="O2432" s="1478"/>
    </row>
    <row r="2433" spans="11:15">
      <c r="K2433" s="1475">
        <v>44490</v>
      </c>
      <c r="L2433" s="1476" t="s">
        <v>2127</v>
      </c>
      <c r="M2433" s="1477">
        <v>2.3687E-2</v>
      </c>
      <c r="N2433" s="1478">
        <v>1.6630978924240751</v>
      </c>
      <c r="O2433" s="1478"/>
    </row>
    <row r="2434" spans="11:15">
      <c r="K2434" s="1475">
        <v>44491</v>
      </c>
      <c r="L2434" s="1476" t="s">
        <v>2127</v>
      </c>
      <c r="M2434" s="1477">
        <v>2.3687E-2</v>
      </c>
      <c r="N2434" s="1478">
        <v>1.6634918304218536</v>
      </c>
      <c r="O2434" s="1478"/>
    </row>
    <row r="2435" spans="11:15">
      <c r="K2435" s="1475">
        <v>44492</v>
      </c>
      <c r="L2435" s="1476"/>
      <c r="M2435" s="1477">
        <v>0</v>
      </c>
      <c r="N2435" s="1478">
        <v>1.6634918304218536</v>
      </c>
      <c r="O2435" s="1478"/>
    </row>
    <row r="2436" spans="11:15">
      <c r="K2436" s="1475">
        <v>44493</v>
      </c>
      <c r="L2436" s="1476"/>
      <c r="M2436" s="1477">
        <v>0</v>
      </c>
      <c r="N2436" s="1478">
        <v>1.6634918304218536</v>
      </c>
      <c r="O2436" s="1478"/>
    </row>
    <row r="2437" spans="11:15">
      <c r="K2437" s="1475">
        <v>44494</v>
      </c>
      <c r="L2437" s="1476" t="s">
        <v>2127</v>
      </c>
      <c r="M2437" s="1477">
        <v>2.3687E-2</v>
      </c>
      <c r="N2437" s="1478">
        <v>1.6638858617317256</v>
      </c>
      <c r="O2437" s="1478"/>
    </row>
    <row r="2438" spans="11:15">
      <c r="K2438" s="1475">
        <v>44495</v>
      </c>
      <c r="L2438" s="1476" t="s">
        <v>2127</v>
      </c>
      <c r="M2438" s="1477">
        <v>2.3687E-2</v>
      </c>
      <c r="N2438" s="1478">
        <v>1.664279986375794</v>
      </c>
      <c r="O2438" s="1478"/>
    </row>
    <row r="2439" spans="11:15">
      <c r="K2439" s="1475">
        <v>44496</v>
      </c>
      <c r="L2439" s="1476" t="s">
        <v>2127</v>
      </c>
      <c r="M2439" s="1477">
        <v>2.3687E-2</v>
      </c>
      <c r="N2439" s="1478">
        <v>1.6646742043761666</v>
      </c>
      <c r="O2439" s="1478"/>
    </row>
    <row r="2440" spans="11:15">
      <c r="K2440" s="1475">
        <v>44497</v>
      </c>
      <c r="L2440" s="1476" t="s">
        <v>2127</v>
      </c>
      <c r="M2440" s="1477">
        <v>2.9256000000000001E-2</v>
      </c>
      <c r="N2440" s="1478">
        <v>1.6651612214613991</v>
      </c>
      <c r="O2440" s="1478"/>
    </row>
    <row r="2441" spans="11:15">
      <c r="K2441" s="1475">
        <v>44498</v>
      </c>
      <c r="L2441" s="1476" t="s">
        <v>2127</v>
      </c>
      <c r="M2441" s="1477">
        <v>2.9256000000000001E-2</v>
      </c>
      <c r="N2441" s="1478">
        <v>1.66564838102835</v>
      </c>
      <c r="O2441" s="1478"/>
    </row>
    <row r="2442" spans="11:15">
      <c r="K2442" s="1475">
        <v>44499</v>
      </c>
      <c r="L2442" s="1476"/>
      <c r="M2442" s="1477">
        <v>0</v>
      </c>
      <c r="N2442" s="1478">
        <v>1.66564838102835</v>
      </c>
      <c r="O2442" s="1478"/>
    </row>
    <row r="2443" spans="11:15">
      <c r="K2443" s="1475">
        <v>44500</v>
      </c>
      <c r="L2443" s="1476"/>
      <c r="M2443" s="1477">
        <v>0</v>
      </c>
      <c r="N2443" s="1478">
        <v>1.66564838102835</v>
      </c>
      <c r="O2443" s="1478"/>
    </row>
    <row r="2444" spans="11:15">
      <c r="K2444" s="1475">
        <v>44501</v>
      </c>
      <c r="L2444" s="1476" t="s">
        <v>2127</v>
      </c>
      <c r="M2444" s="1477">
        <v>2.9256000000000001E-2</v>
      </c>
      <c r="N2444" s="1478">
        <v>1.6661356831187037</v>
      </c>
      <c r="O2444" s="1478"/>
    </row>
    <row r="2445" spans="11:15">
      <c r="K2445" s="1475">
        <v>44502</v>
      </c>
      <c r="L2445" s="1476"/>
      <c r="M2445" s="1477">
        <v>0</v>
      </c>
      <c r="N2445" s="1478">
        <v>1.6661356831187037</v>
      </c>
      <c r="O2445" s="1478"/>
    </row>
    <row r="2446" spans="11:15">
      <c r="K2446" s="1475">
        <v>44503</v>
      </c>
      <c r="L2446" s="1476" t="s">
        <v>2127</v>
      </c>
      <c r="M2446" s="1477">
        <v>2.9256000000000001E-2</v>
      </c>
      <c r="N2446" s="1478">
        <v>1.6666231277741572</v>
      </c>
      <c r="O2446" s="1478"/>
    </row>
    <row r="2447" spans="11:15">
      <c r="K2447" s="1475">
        <v>44504</v>
      </c>
      <c r="L2447" s="1476" t="s">
        <v>2127</v>
      </c>
      <c r="M2447" s="1477">
        <v>2.9256000000000001E-2</v>
      </c>
      <c r="N2447" s="1478">
        <v>1.6671107150364191</v>
      </c>
      <c r="O2447" s="1478"/>
    </row>
    <row r="2448" spans="11:15">
      <c r="K2448" s="1475">
        <v>44505</v>
      </c>
      <c r="L2448" s="1476" t="s">
        <v>2127</v>
      </c>
      <c r="M2448" s="1477">
        <v>2.9256000000000001E-2</v>
      </c>
      <c r="N2448" s="1478">
        <v>1.6675984449472103</v>
      </c>
      <c r="O2448" s="1478"/>
    </row>
    <row r="2449" spans="11:15">
      <c r="K2449" s="1475">
        <v>44506</v>
      </c>
      <c r="L2449" s="1476"/>
      <c r="M2449" s="1477">
        <v>0</v>
      </c>
      <c r="N2449" s="1478">
        <v>1.6675984449472103</v>
      </c>
      <c r="O2449" s="1478"/>
    </row>
    <row r="2450" spans="11:15">
      <c r="K2450" s="1475">
        <v>44507</v>
      </c>
      <c r="L2450" s="1476"/>
      <c r="M2450" s="1477">
        <v>0</v>
      </c>
      <c r="N2450" s="1478">
        <v>1.6675984449472103</v>
      </c>
      <c r="O2450" s="1478"/>
    </row>
    <row r="2451" spans="11:15">
      <c r="K2451" s="1475">
        <v>44508</v>
      </c>
      <c r="L2451" s="1476" t="s">
        <v>2127</v>
      </c>
      <c r="M2451" s="1477">
        <v>2.9256000000000001E-2</v>
      </c>
      <c r="N2451" s="1478">
        <v>1.6680863175482643</v>
      </c>
      <c r="O2451" s="1478"/>
    </row>
    <row r="2452" spans="11:15">
      <c r="K2452" s="1475">
        <v>44509</v>
      </c>
      <c r="L2452" s="1476" t="s">
        <v>2127</v>
      </c>
      <c r="M2452" s="1477">
        <v>2.9256000000000001E-2</v>
      </c>
      <c r="N2452" s="1478">
        <v>1.6685743328813265</v>
      </c>
      <c r="O2452" s="1478"/>
    </row>
    <row r="2453" spans="11:15">
      <c r="K2453" s="1475">
        <v>44510</v>
      </c>
      <c r="L2453" s="1476" t="s">
        <v>2127</v>
      </c>
      <c r="M2453" s="1477">
        <v>2.9256000000000001E-2</v>
      </c>
      <c r="N2453" s="1478">
        <v>1.6690624909881544</v>
      </c>
      <c r="O2453" s="1478"/>
    </row>
    <row r="2454" spans="11:15">
      <c r="K2454" s="1475">
        <v>44511</v>
      </c>
      <c r="L2454" s="1476" t="s">
        <v>2127</v>
      </c>
      <c r="M2454" s="1477">
        <v>2.9256000000000001E-2</v>
      </c>
      <c r="N2454" s="1478">
        <v>1.6695507919105181</v>
      </c>
      <c r="O2454" s="1478"/>
    </row>
    <row r="2455" spans="11:15">
      <c r="K2455" s="1475">
        <v>44512</v>
      </c>
      <c r="L2455" s="1476" t="s">
        <v>2127</v>
      </c>
      <c r="M2455" s="1477">
        <v>2.9256000000000001E-2</v>
      </c>
      <c r="N2455" s="1478">
        <v>1.6700392356901996</v>
      </c>
      <c r="O2455" s="1478"/>
    </row>
    <row r="2456" spans="11:15">
      <c r="K2456" s="1475">
        <v>44513</v>
      </c>
      <c r="L2456" s="1476"/>
      <c r="M2456" s="1477">
        <v>0</v>
      </c>
      <c r="N2456" s="1478">
        <v>1.6700392356901996</v>
      </c>
      <c r="O2456" s="1478"/>
    </row>
    <row r="2457" spans="11:15">
      <c r="K2457" s="1475">
        <v>44514</v>
      </c>
      <c r="L2457" s="1476"/>
      <c r="M2457" s="1477">
        <v>0</v>
      </c>
      <c r="N2457" s="1478">
        <v>1.6700392356901996</v>
      </c>
      <c r="O2457" s="1478"/>
    </row>
    <row r="2458" spans="11:15">
      <c r="K2458" s="1475">
        <v>44515</v>
      </c>
      <c r="L2458" s="1476"/>
      <c r="M2458" s="1477">
        <v>0</v>
      </c>
      <c r="N2458" s="1478">
        <v>1.6700392356901996</v>
      </c>
      <c r="O2458" s="1478"/>
    </row>
    <row r="2459" spans="11:15">
      <c r="K2459" s="1475">
        <v>44516</v>
      </c>
      <c r="L2459" s="1476" t="s">
        <v>2127</v>
      </c>
      <c r="M2459" s="1477">
        <v>2.9256000000000001E-2</v>
      </c>
      <c r="N2459" s="1478">
        <v>1.6705278223689934</v>
      </c>
      <c r="O2459" s="1478"/>
    </row>
    <row r="2460" spans="11:15">
      <c r="K2460" s="1475">
        <v>44517</v>
      </c>
      <c r="L2460" s="1476" t="s">
        <v>2127</v>
      </c>
      <c r="M2460" s="1477">
        <v>2.9256000000000001E-2</v>
      </c>
      <c r="N2460" s="1478">
        <v>1.6710165519887059</v>
      </c>
      <c r="O2460" s="1478"/>
    </row>
    <row r="2461" spans="11:15">
      <c r="K2461" s="1475">
        <v>44518</v>
      </c>
      <c r="L2461" s="1476" t="s">
        <v>2127</v>
      </c>
      <c r="M2461" s="1477">
        <v>2.9256000000000001E-2</v>
      </c>
      <c r="N2461" s="1478">
        <v>1.6715054245911558</v>
      </c>
      <c r="O2461" s="1478"/>
    </row>
    <row r="2462" spans="11:15">
      <c r="K2462" s="1475">
        <v>44519</v>
      </c>
      <c r="L2462" s="1476" t="s">
        <v>2127</v>
      </c>
      <c r="M2462" s="1477">
        <v>2.9256000000000001E-2</v>
      </c>
      <c r="N2462" s="1478">
        <v>1.6719944402181743</v>
      </c>
      <c r="O2462" s="1478"/>
    </row>
    <row r="2463" spans="11:15">
      <c r="K2463" s="1475">
        <v>44520</v>
      </c>
      <c r="L2463" s="1476"/>
      <c r="M2463" s="1477">
        <v>0</v>
      </c>
      <c r="N2463" s="1478">
        <v>1.6719944402181743</v>
      </c>
      <c r="O2463" s="1478"/>
    </row>
    <row r="2464" spans="11:15">
      <c r="K2464" s="1475">
        <v>44521</v>
      </c>
      <c r="L2464" s="1476"/>
      <c r="M2464" s="1477">
        <v>0</v>
      </c>
      <c r="N2464" s="1478">
        <v>1.6719944402181743</v>
      </c>
      <c r="O2464" s="1478"/>
    </row>
    <row r="2465" spans="11:15">
      <c r="K2465" s="1475">
        <v>44522</v>
      </c>
      <c r="L2465" s="1476" t="s">
        <v>2127</v>
      </c>
      <c r="M2465" s="1477">
        <v>2.9256000000000001E-2</v>
      </c>
      <c r="N2465" s="1478">
        <v>1.6724835989116047</v>
      </c>
      <c r="O2465" s="1478"/>
    </row>
    <row r="2466" spans="11:15">
      <c r="K2466" s="1475">
        <v>44523</v>
      </c>
      <c r="L2466" s="1476" t="s">
        <v>2127</v>
      </c>
      <c r="M2466" s="1477">
        <v>2.9256000000000001E-2</v>
      </c>
      <c r="N2466" s="1478">
        <v>1.6729729007133025</v>
      </c>
      <c r="O2466" s="1478"/>
    </row>
    <row r="2467" spans="11:15">
      <c r="K2467" s="1475">
        <v>44524</v>
      </c>
      <c r="L2467" s="1476" t="s">
        <v>2127</v>
      </c>
      <c r="M2467" s="1477">
        <v>2.9256000000000001E-2</v>
      </c>
      <c r="N2467" s="1478">
        <v>1.6734623456651354</v>
      </c>
      <c r="O2467" s="1478"/>
    </row>
    <row r="2468" spans="11:15">
      <c r="K2468" s="1475">
        <v>44525</v>
      </c>
      <c r="L2468" s="1476" t="s">
        <v>2127</v>
      </c>
      <c r="M2468" s="1477">
        <v>2.9256000000000001E-2</v>
      </c>
      <c r="N2468" s="1478">
        <v>1.6739519338089834</v>
      </c>
      <c r="O2468" s="1478"/>
    </row>
    <row r="2469" spans="11:15">
      <c r="K2469" s="1475">
        <v>44526</v>
      </c>
      <c r="L2469" s="1476" t="s">
        <v>2127</v>
      </c>
      <c r="M2469" s="1477">
        <v>2.9256000000000001E-2</v>
      </c>
      <c r="N2469" s="1478">
        <v>1.6744416651867389</v>
      </c>
      <c r="O2469" s="1478"/>
    </row>
    <row r="2470" spans="11:15">
      <c r="K2470" s="1475">
        <v>44527</v>
      </c>
      <c r="L2470" s="1476"/>
      <c r="M2470" s="1477">
        <v>0</v>
      </c>
      <c r="N2470" s="1478">
        <v>1.6744416651867389</v>
      </c>
      <c r="O2470" s="1478"/>
    </row>
    <row r="2471" spans="11:15">
      <c r="K2471" s="1475">
        <v>44528</v>
      </c>
      <c r="L2471" s="1476"/>
      <c r="M2471" s="1477">
        <v>0</v>
      </c>
      <c r="N2471" s="1478">
        <v>1.6744416651867389</v>
      </c>
      <c r="O2471" s="1478"/>
    </row>
    <row r="2472" spans="11:15">
      <c r="K2472" s="1475">
        <v>44529</v>
      </c>
      <c r="L2472" s="1476" t="s">
        <v>2127</v>
      </c>
      <c r="M2472" s="1477">
        <v>2.9256000000000001E-2</v>
      </c>
      <c r="N2472" s="1478">
        <v>1.6749315398403062</v>
      </c>
      <c r="O2472" s="1478"/>
    </row>
    <row r="2473" spans="11:15">
      <c r="K2473" s="1475">
        <v>44530</v>
      </c>
      <c r="L2473" s="1476" t="s">
        <v>2127</v>
      </c>
      <c r="M2473" s="1477">
        <v>2.9256000000000001E-2</v>
      </c>
      <c r="N2473" s="1478">
        <v>1.6754215578116021</v>
      </c>
      <c r="O2473" s="1478"/>
    </row>
    <row r="2474" spans="11:15">
      <c r="K2474" s="1475">
        <v>44531</v>
      </c>
      <c r="L2474" s="1476" t="s">
        <v>2127</v>
      </c>
      <c r="M2474" s="1477">
        <v>2.9256000000000001E-2</v>
      </c>
      <c r="N2474" s="1478">
        <v>1.6759117191425557</v>
      </c>
      <c r="O2474" s="1478"/>
    </row>
    <row r="2475" spans="11:15">
      <c r="K2475" s="1475">
        <v>44532</v>
      </c>
      <c r="L2475" s="1476" t="s">
        <v>2127</v>
      </c>
      <c r="M2475" s="1477">
        <v>2.9256000000000001E-2</v>
      </c>
      <c r="N2475" s="1478">
        <v>1.6764020238751083</v>
      </c>
      <c r="O2475" s="1478"/>
    </row>
    <row r="2476" spans="11:15">
      <c r="K2476" s="1475">
        <v>44533</v>
      </c>
      <c r="L2476" s="1476" t="s">
        <v>2127</v>
      </c>
      <c r="M2476" s="1477">
        <v>2.9256000000000001E-2</v>
      </c>
      <c r="N2476" s="1478">
        <v>1.6768924720512133</v>
      </c>
      <c r="O2476" s="1478"/>
    </row>
    <row r="2477" spans="11:15">
      <c r="K2477" s="1475">
        <v>44534</v>
      </c>
      <c r="L2477" s="1476"/>
      <c r="M2477" s="1477">
        <v>0</v>
      </c>
      <c r="N2477" s="1478">
        <v>1.6768924720512133</v>
      </c>
      <c r="O2477" s="1478"/>
    </row>
    <row r="2478" spans="11:15">
      <c r="K2478" s="1475">
        <v>44535</v>
      </c>
      <c r="L2478" s="1476"/>
      <c r="M2478" s="1477">
        <v>0</v>
      </c>
      <c r="N2478" s="1478">
        <v>1.6768924720512133</v>
      </c>
      <c r="O2478" s="1478"/>
    </row>
    <row r="2479" spans="11:15">
      <c r="K2479" s="1475">
        <v>44536</v>
      </c>
      <c r="L2479" s="1476" t="s">
        <v>2127</v>
      </c>
      <c r="M2479" s="1477">
        <v>2.9256000000000001E-2</v>
      </c>
      <c r="N2479" s="1478">
        <v>1.6773830637128369</v>
      </c>
      <c r="O2479" s="1478"/>
    </row>
    <row r="2480" spans="11:15">
      <c r="K2480" s="1475">
        <v>44537</v>
      </c>
      <c r="L2480" s="1476" t="s">
        <v>2127</v>
      </c>
      <c r="M2480" s="1477">
        <v>2.9256000000000001E-2</v>
      </c>
      <c r="N2480" s="1478">
        <v>1.6778737989019568</v>
      </c>
      <c r="O2480" s="1478"/>
    </row>
    <row r="2481" spans="11:15">
      <c r="K2481" s="1475">
        <v>44538</v>
      </c>
      <c r="L2481" s="1476" t="s">
        <v>2127</v>
      </c>
      <c r="M2481" s="1477">
        <v>2.9256000000000001E-2</v>
      </c>
      <c r="N2481" s="1478">
        <v>1.6783646776605636</v>
      </c>
      <c r="O2481" s="1478"/>
    </row>
    <row r="2482" spans="11:15">
      <c r="K2482" s="1475">
        <v>44539</v>
      </c>
      <c r="L2482" s="1476" t="s">
        <v>2127</v>
      </c>
      <c r="M2482" s="1477">
        <v>3.4749000000000002E-2</v>
      </c>
      <c r="N2482" s="1478">
        <v>1.678947892602404</v>
      </c>
      <c r="O2482" s="1478"/>
    </row>
    <row r="2483" spans="11:15">
      <c r="K2483" s="1475">
        <v>44540</v>
      </c>
      <c r="L2483" s="1476" t="s">
        <v>2127</v>
      </c>
      <c r="M2483" s="1477">
        <v>3.4749000000000002E-2</v>
      </c>
      <c r="N2483" s="1478">
        <v>1.6795313102056044</v>
      </c>
      <c r="O2483" s="1478"/>
    </row>
    <row r="2484" spans="11:15">
      <c r="K2484" s="1475">
        <v>44541</v>
      </c>
      <c r="L2484" s="1476"/>
      <c r="M2484" s="1477">
        <v>0</v>
      </c>
      <c r="N2484" s="1478">
        <v>1.6795313102056044</v>
      </c>
      <c r="O2484" s="1478"/>
    </row>
    <row r="2485" spans="11:15">
      <c r="K2485" s="1475">
        <v>44542</v>
      </c>
      <c r="L2485" s="1476"/>
      <c r="M2485" s="1477">
        <v>0</v>
      </c>
      <c r="N2485" s="1478">
        <v>1.6795313102056044</v>
      </c>
      <c r="O2485" s="1478"/>
    </row>
    <row r="2486" spans="11:15">
      <c r="K2486" s="1475">
        <v>44543</v>
      </c>
      <c r="L2486" s="1476" t="s">
        <v>2127</v>
      </c>
      <c r="M2486" s="1477">
        <v>3.4749000000000002E-2</v>
      </c>
      <c r="N2486" s="1478">
        <v>1.6801149305405878</v>
      </c>
      <c r="O2486" s="1478"/>
    </row>
    <row r="2487" spans="11:15">
      <c r="K2487" s="1475">
        <v>44544</v>
      </c>
      <c r="L2487" s="1476" t="s">
        <v>2127</v>
      </c>
      <c r="M2487" s="1477">
        <v>3.4749000000000002E-2</v>
      </c>
      <c r="N2487" s="1478">
        <v>1.6806987536778013</v>
      </c>
      <c r="O2487" s="1478"/>
    </row>
    <row r="2488" spans="11:15">
      <c r="K2488" s="1475">
        <v>44545</v>
      </c>
      <c r="L2488" s="1476" t="s">
        <v>2127</v>
      </c>
      <c r="M2488" s="1477">
        <v>3.4749000000000002E-2</v>
      </c>
      <c r="N2488" s="1478">
        <v>1.6812827796877168</v>
      </c>
      <c r="O2488" s="1478"/>
    </row>
    <row r="2489" spans="11:15">
      <c r="K2489" s="1475">
        <v>44546</v>
      </c>
      <c r="L2489" s="1476" t="s">
        <v>2127</v>
      </c>
      <c r="M2489" s="1477">
        <v>3.4749000000000002E-2</v>
      </c>
      <c r="N2489" s="1478">
        <v>1.6818670086408305</v>
      </c>
      <c r="O2489" s="1478"/>
    </row>
    <row r="2490" spans="11:15">
      <c r="K2490" s="1475">
        <v>44547</v>
      </c>
      <c r="L2490" s="1476" t="s">
        <v>2127</v>
      </c>
      <c r="M2490" s="1477">
        <v>3.4749000000000002E-2</v>
      </c>
      <c r="N2490" s="1478">
        <v>1.6824514406076632</v>
      </c>
      <c r="O2490" s="1478"/>
    </row>
    <row r="2491" spans="11:15">
      <c r="K2491" s="1475">
        <v>44548</v>
      </c>
      <c r="L2491" s="1476"/>
      <c r="M2491" s="1477">
        <v>0</v>
      </c>
      <c r="N2491" s="1478">
        <v>1.6824514406076632</v>
      </c>
      <c r="O2491" s="1478"/>
    </row>
    <row r="2492" spans="11:15">
      <c r="K2492" s="1475">
        <v>44549</v>
      </c>
      <c r="L2492" s="1476"/>
      <c r="M2492" s="1477">
        <v>0</v>
      </c>
      <c r="N2492" s="1478">
        <v>1.6824514406076632</v>
      </c>
      <c r="O2492" s="1478"/>
    </row>
    <row r="2493" spans="11:15">
      <c r="K2493" s="1475">
        <v>44550</v>
      </c>
      <c r="L2493" s="1476" t="s">
        <v>2127</v>
      </c>
      <c r="M2493" s="1477">
        <v>3.4749000000000002E-2</v>
      </c>
      <c r="N2493" s="1478">
        <v>1.6830360756587599</v>
      </c>
      <c r="O2493" s="1478"/>
    </row>
    <row r="2494" spans="11:15">
      <c r="K2494" s="1475">
        <v>44551</v>
      </c>
      <c r="L2494" s="1476" t="s">
        <v>2127</v>
      </c>
      <c r="M2494" s="1477">
        <v>3.4749000000000002E-2</v>
      </c>
      <c r="N2494" s="1478">
        <v>1.6836209138646905</v>
      </c>
      <c r="O2494" s="1478"/>
    </row>
    <row r="2495" spans="11:15">
      <c r="K2495" s="1475">
        <v>44552</v>
      </c>
      <c r="L2495" s="1476" t="s">
        <v>2127</v>
      </c>
      <c r="M2495" s="1477">
        <v>3.4749000000000002E-2</v>
      </c>
      <c r="N2495" s="1478">
        <v>1.6842059552960493</v>
      </c>
      <c r="O2495" s="1478"/>
    </row>
    <row r="2496" spans="11:15">
      <c r="K2496" s="1475">
        <v>44553</v>
      </c>
      <c r="L2496" s="1476" t="s">
        <v>2127</v>
      </c>
      <c r="M2496" s="1477">
        <v>3.4749000000000002E-2</v>
      </c>
      <c r="N2496" s="1478">
        <v>1.6847912000234551</v>
      </c>
      <c r="O2496" s="1478"/>
    </row>
    <row r="2497" spans="11:15">
      <c r="K2497" s="1475">
        <v>44554</v>
      </c>
      <c r="L2497" s="1476" t="s">
        <v>2127</v>
      </c>
      <c r="M2497" s="1477">
        <v>3.4749000000000002E-2</v>
      </c>
      <c r="N2497" s="1478">
        <v>1.6853766481175512</v>
      </c>
      <c r="O2497" s="1478"/>
    </row>
    <row r="2498" spans="11:15">
      <c r="K2498" s="1475">
        <v>44555</v>
      </c>
      <c r="L2498" s="1476"/>
      <c r="M2498" s="1477">
        <v>0</v>
      </c>
      <c r="N2498" s="1478">
        <v>1.6853766481175512</v>
      </c>
      <c r="O2498" s="1478"/>
    </row>
    <row r="2499" spans="11:15">
      <c r="K2499" s="1475">
        <v>44556</v>
      </c>
      <c r="L2499" s="1476"/>
      <c r="M2499" s="1477">
        <v>0</v>
      </c>
      <c r="N2499" s="1478">
        <v>1.6853766481175512</v>
      </c>
      <c r="O2499" s="1478"/>
    </row>
    <row r="2500" spans="11:15">
      <c r="K2500" s="1475">
        <v>44557</v>
      </c>
      <c r="L2500" s="1476" t="s">
        <v>2127</v>
      </c>
      <c r="M2500" s="1477">
        <v>3.4749000000000002E-2</v>
      </c>
      <c r="N2500" s="1478">
        <v>1.6859622996490056</v>
      </c>
      <c r="O2500" s="1478"/>
    </row>
    <row r="2501" spans="11:15">
      <c r="K2501" s="1475">
        <v>44558</v>
      </c>
      <c r="L2501" s="1476" t="s">
        <v>2127</v>
      </c>
      <c r="M2501" s="1477">
        <v>3.4749000000000002E-2</v>
      </c>
      <c r="N2501" s="1478">
        <v>1.6865481546885106</v>
      </c>
      <c r="O2501" s="1478"/>
    </row>
    <row r="2502" spans="11:15">
      <c r="K2502" s="1475">
        <v>44559</v>
      </c>
      <c r="L2502" s="1476" t="s">
        <v>2127</v>
      </c>
      <c r="M2502" s="1477">
        <v>3.4749000000000002E-2</v>
      </c>
      <c r="N2502" s="1478">
        <v>1.6871342133067833</v>
      </c>
      <c r="O2502" s="1478"/>
    </row>
    <row r="2503" spans="11:15">
      <c r="K2503" s="1475">
        <v>44560</v>
      </c>
      <c r="L2503" s="1476" t="s">
        <v>2127</v>
      </c>
      <c r="M2503" s="1477">
        <v>3.4749000000000002E-2</v>
      </c>
      <c r="N2503" s="1478">
        <v>1.6877204755745652</v>
      </c>
      <c r="O2503" s="1478"/>
    </row>
    <row r="2504" spans="11:15">
      <c r="K2504" s="1475">
        <v>44561</v>
      </c>
      <c r="L2504" s="1476" t="s">
        <v>2127</v>
      </c>
      <c r="M2504" s="1477">
        <v>3.4749000000000002E-2</v>
      </c>
      <c r="N2504" s="1478">
        <v>1.6883069415626226</v>
      </c>
      <c r="O2504" s="1478"/>
    </row>
    <row r="2505" spans="11:15">
      <c r="K2505" s="1475">
        <v>44562</v>
      </c>
      <c r="L2505" s="1476"/>
      <c r="M2505" s="1477">
        <v>0</v>
      </c>
      <c r="N2505" s="1478">
        <v>1.6883069415626226</v>
      </c>
      <c r="O2505" s="1478"/>
    </row>
    <row r="2506" spans="11:15">
      <c r="K2506" s="1475">
        <v>44563</v>
      </c>
      <c r="L2506" s="1476"/>
      <c r="M2506" s="1477">
        <v>0</v>
      </c>
      <c r="N2506" s="1478">
        <v>1.6883069415626226</v>
      </c>
      <c r="O2506" s="1478"/>
    </row>
    <row r="2507" spans="11:15">
      <c r="K2507" s="1475">
        <v>44564</v>
      </c>
      <c r="L2507" s="1476" t="s">
        <v>2127</v>
      </c>
      <c r="M2507" s="1477">
        <v>3.4749000000000002E-2</v>
      </c>
      <c r="N2507" s="1478">
        <v>1.6888936113417463</v>
      </c>
      <c r="O2507" s="1478"/>
    </row>
    <row r="2508" spans="11:15">
      <c r="K2508" s="1475">
        <v>44565</v>
      </c>
      <c r="L2508" s="1476" t="s">
        <v>2127</v>
      </c>
      <c r="M2508" s="1477">
        <v>3.4749000000000002E-2</v>
      </c>
      <c r="N2508" s="1478">
        <v>1.6894804849827514</v>
      </c>
      <c r="O2508" s="1478"/>
    </row>
    <row r="2509" spans="11:15">
      <c r="K2509" s="1475">
        <v>44566</v>
      </c>
      <c r="L2509" s="1476" t="s">
        <v>2127</v>
      </c>
      <c r="M2509" s="1477">
        <v>3.4749000000000002E-2</v>
      </c>
      <c r="N2509" s="1478">
        <v>1.6900675625564781</v>
      </c>
      <c r="O2509" s="1478"/>
    </row>
    <row r="2510" spans="11:15">
      <c r="K2510" s="1475">
        <v>44567</v>
      </c>
      <c r="L2510" s="1476" t="s">
        <v>2127</v>
      </c>
      <c r="M2510" s="1477">
        <v>3.4749000000000002E-2</v>
      </c>
      <c r="N2510" s="1478">
        <v>1.6906548441337907</v>
      </c>
      <c r="O2510" s="1478"/>
    </row>
    <row r="2511" spans="11:15">
      <c r="K2511" s="1475">
        <v>44568</v>
      </c>
      <c r="L2511" s="1476" t="s">
        <v>2127</v>
      </c>
      <c r="M2511" s="1477">
        <v>3.4749000000000002E-2</v>
      </c>
      <c r="N2511" s="1478">
        <v>1.6912423297855788</v>
      </c>
      <c r="O2511" s="1478"/>
    </row>
    <row r="2512" spans="11:15">
      <c r="K2512" s="1475">
        <v>44569</v>
      </c>
      <c r="L2512" s="1476"/>
      <c r="M2512" s="1477">
        <v>0</v>
      </c>
      <c r="N2512" s="1478">
        <v>1.6912423297855788</v>
      </c>
      <c r="O2512" s="1478"/>
    </row>
    <row r="2513" spans="11:15">
      <c r="K2513" s="1475">
        <v>44570</v>
      </c>
      <c r="L2513" s="1476"/>
      <c r="M2513" s="1477">
        <v>0</v>
      </c>
      <c r="N2513" s="1478">
        <v>1.6912423297855788</v>
      </c>
      <c r="O2513" s="1478"/>
    </row>
    <row r="2514" spans="11:15">
      <c r="K2514" s="1475">
        <v>44571</v>
      </c>
      <c r="L2514" s="1476" t="s">
        <v>2127</v>
      </c>
      <c r="M2514" s="1477">
        <v>3.4749000000000002E-2</v>
      </c>
      <c r="N2514" s="1478">
        <v>1.691830019582756</v>
      </c>
      <c r="O2514" s="1478"/>
    </row>
    <row r="2515" spans="11:15">
      <c r="K2515" s="1475">
        <v>44572</v>
      </c>
      <c r="L2515" s="1476" t="s">
        <v>2127</v>
      </c>
      <c r="M2515" s="1477">
        <v>3.4749000000000002E-2</v>
      </c>
      <c r="N2515" s="1478">
        <v>1.6924179135962609</v>
      </c>
      <c r="O2515" s="1478"/>
    </row>
    <row r="2516" spans="11:15">
      <c r="K2516" s="1475">
        <v>44573</v>
      </c>
      <c r="L2516" s="1476" t="s">
        <v>2127</v>
      </c>
      <c r="M2516" s="1477">
        <v>3.4749000000000002E-2</v>
      </c>
      <c r="N2516" s="1478">
        <v>1.6930060118970565</v>
      </c>
      <c r="O2516" s="1478"/>
    </row>
    <row r="2517" spans="11:15">
      <c r="K2517" s="1475">
        <v>44574</v>
      </c>
      <c r="L2517" s="1476" t="s">
        <v>2127</v>
      </c>
      <c r="M2517" s="1477">
        <v>3.4749000000000002E-2</v>
      </c>
      <c r="N2517" s="1478">
        <v>1.6935943145561305</v>
      </c>
      <c r="O2517" s="1478"/>
    </row>
    <row r="2518" spans="11:15">
      <c r="K2518" s="1475">
        <v>44575</v>
      </c>
      <c r="L2518" s="1476" t="s">
        <v>2127</v>
      </c>
      <c r="M2518" s="1477">
        <v>3.4749000000000002E-2</v>
      </c>
      <c r="N2518" s="1478">
        <v>1.6941828216444956</v>
      </c>
      <c r="O2518" s="1478"/>
    </row>
    <row r="2519" spans="11:15">
      <c r="K2519" s="1475">
        <v>44576</v>
      </c>
      <c r="L2519" s="1476"/>
      <c r="M2519" s="1477">
        <v>0</v>
      </c>
      <c r="N2519" s="1478">
        <v>1.6941828216444956</v>
      </c>
      <c r="O2519" s="1478"/>
    </row>
    <row r="2520" spans="11:15">
      <c r="K2520" s="1475">
        <v>44577</v>
      </c>
      <c r="L2520" s="1476"/>
      <c r="M2520" s="1477">
        <v>0</v>
      </c>
      <c r="N2520" s="1478">
        <v>1.6941828216444956</v>
      </c>
      <c r="O2520" s="1478"/>
    </row>
    <row r="2521" spans="11:15">
      <c r="K2521" s="1475">
        <v>44578</v>
      </c>
      <c r="L2521" s="1476" t="s">
        <v>2127</v>
      </c>
      <c r="M2521" s="1477">
        <v>3.4749000000000002E-2</v>
      </c>
      <c r="N2521" s="1478">
        <v>1.694771533233189</v>
      </c>
      <c r="O2521" s="1478"/>
    </row>
    <row r="2522" spans="11:15">
      <c r="K2522" s="1475">
        <v>44579</v>
      </c>
      <c r="L2522" s="1476" t="s">
        <v>2127</v>
      </c>
      <c r="M2522" s="1477">
        <v>3.4749000000000002E-2</v>
      </c>
      <c r="N2522" s="1478">
        <v>1.6953604493932721</v>
      </c>
      <c r="O2522" s="1478"/>
    </row>
    <row r="2523" spans="11:15">
      <c r="K2523" s="1475">
        <v>44580</v>
      </c>
      <c r="L2523" s="1476" t="s">
        <v>2127</v>
      </c>
      <c r="M2523" s="1477">
        <v>3.4749000000000002E-2</v>
      </c>
      <c r="N2523" s="1478">
        <v>1.6959495701958318</v>
      </c>
      <c r="O2523" s="1478"/>
    </row>
    <row r="2524" spans="11:15">
      <c r="K2524" s="1475">
        <v>44581</v>
      </c>
      <c r="L2524" s="1476" t="s">
        <v>2127</v>
      </c>
      <c r="M2524" s="1477">
        <v>3.4749000000000002E-2</v>
      </c>
      <c r="N2524" s="1478">
        <v>1.6965388957119791</v>
      </c>
      <c r="O2524" s="1478"/>
    </row>
    <row r="2525" spans="11:15">
      <c r="K2525" s="1475">
        <v>44582</v>
      </c>
      <c r="L2525" s="1476" t="s">
        <v>2127</v>
      </c>
      <c r="M2525" s="1477">
        <v>3.4749000000000002E-2</v>
      </c>
      <c r="N2525" s="1478">
        <v>1.6971284260128501</v>
      </c>
      <c r="O2525" s="1478"/>
    </row>
    <row r="2526" spans="11:15">
      <c r="K2526" s="1475">
        <v>44583</v>
      </c>
      <c r="L2526" s="1476"/>
      <c r="M2526" s="1477">
        <v>0</v>
      </c>
      <c r="N2526" s="1478">
        <v>1.6971284260128501</v>
      </c>
      <c r="O2526" s="1478"/>
    </row>
    <row r="2527" spans="11:15">
      <c r="K2527" s="1475">
        <v>44584</v>
      </c>
      <c r="L2527" s="1476"/>
      <c r="M2527" s="1477">
        <v>0</v>
      </c>
      <c r="N2527" s="1478">
        <v>1.6971284260128501</v>
      </c>
      <c r="O2527" s="1478"/>
    </row>
    <row r="2528" spans="11:15">
      <c r="K2528" s="1475">
        <v>44585</v>
      </c>
      <c r="L2528" s="1476" t="s">
        <v>2127</v>
      </c>
      <c r="M2528" s="1477">
        <v>3.4749000000000002E-2</v>
      </c>
      <c r="N2528" s="1478">
        <v>1.6977181611696053</v>
      </c>
      <c r="O2528" s="1478"/>
    </row>
    <row r="2529" spans="11:15">
      <c r="K2529" s="1475">
        <v>44586</v>
      </c>
      <c r="L2529" s="1476" t="s">
        <v>2127</v>
      </c>
      <c r="M2529" s="1477">
        <v>3.4749000000000002E-2</v>
      </c>
      <c r="N2529" s="1478">
        <v>1.69830810125343</v>
      </c>
      <c r="O2529" s="1478"/>
    </row>
    <row r="2530" spans="11:15">
      <c r="K2530" s="1475">
        <v>44587</v>
      </c>
      <c r="L2530" s="1476" t="s">
        <v>2127</v>
      </c>
      <c r="M2530" s="1477">
        <v>3.4749000000000002E-2</v>
      </c>
      <c r="N2530" s="1478">
        <v>1.6988982463355347</v>
      </c>
      <c r="O2530" s="1478"/>
    </row>
    <row r="2531" spans="11:15">
      <c r="K2531" s="1475">
        <v>44588</v>
      </c>
      <c r="L2531" s="1476" t="s">
        <v>2127</v>
      </c>
      <c r="M2531" s="1477">
        <v>3.4749000000000002E-2</v>
      </c>
      <c r="N2531" s="1478">
        <v>1.6994885964871538</v>
      </c>
      <c r="O2531" s="1478"/>
    </row>
    <row r="2532" spans="11:15">
      <c r="K2532" s="1475">
        <v>44589</v>
      </c>
      <c r="L2532" s="1476" t="s">
        <v>2127</v>
      </c>
      <c r="M2532" s="1477">
        <v>3.4749000000000002E-2</v>
      </c>
      <c r="N2532" s="1478">
        <v>1.700079151779547</v>
      </c>
      <c r="O2532" s="1478"/>
    </row>
    <row r="2533" spans="11:15">
      <c r="K2533" s="1475">
        <v>44590</v>
      </c>
      <c r="L2533" s="1476"/>
      <c r="M2533" s="1477">
        <v>0</v>
      </c>
      <c r="N2533" s="1478">
        <v>1.700079151779547</v>
      </c>
      <c r="O2533" s="1478"/>
    </row>
    <row r="2534" spans="11:15">
      <c r="K2534" s="1475">
        <v>44591</v>
      </c>
      <c r="L2534" s="1476"/>
      <c r="M2534" s="1477">
        <v>0</v>
      </c>
      <c r="N2534" s="1478">
        <v>1.700079151779547</v>
      </c>
      <c r="O2534" s="1478"/>
    </row>
    <row r="2535" spans="11:15">
      <c r="K2535" s="1475">
        <v>44592</v>
      </c>
      <c r="L2535" s="1476" t="s">
        <v>2127</v>
      </c>
      <c r="M2535" s="1477">
        <v>3.4749000000000002E-2</v>
      </c>
      <c r="N2535" s="1478">
        <v>1.700669912283999</v>
      </c>
      <c r="O2535" s="1478"/>
    </row>
    <row r="2536" spans="11:15">
      <c r="K2536" s="1475">
        <v>44593</v>
      </c>
      <c r="L2536" s="1476" t="s">
        <v>2127</v>
      </c>
      <c r="M2536" s="1477">
        <v>3.4749000000000002E-2</v>
      </c>
      <c r="N2536" s="1478">
        <v>1.7012608780718186</v>
      </c>
      <c r="O2536" s="1478"/>
    </row>
    <row r="2537" spans="11:15">
      <c r="K2537" s="1475">
        <v>44594</v>
      </c>
      <c r="L2537" s="1476" t="s">
        <v>2127</v>
      </c>
      <c r="M2537" s="1477">
        <v>3.4749000000000002E-2</v>
      </c>
      <c r="N2537" s="1478">
        <v>1.7018520492143399</v>
      </c>
      <c r="O2537" s="1478"/>
    </row>
    <row r="2538" spans="11:15">
      <c r="K2538" s="1475">
        <v>44595</v>
      </c>
      <c r="L2538" s="1476" t="s">
        <v>2127</v>
      </c>
      <c r="M2538" s="1477">
        <v>4.0168000000000002E-2</v>
      </c>
      <c r="N2538" s="1478">
        <v>1.7025356491454682</v>
      </c>
      <c r="O2538" s="1478"/>
    </row>
    <row r="2539" spans="11:15">
      <c r="K2539" s="1475">
        <v>44596</v>
      </c>
      <c r="L2539" s="1476" t="s">
        <v>2127</v>
      </c>
      <c r="M2539" s="1477">
        <v>4.0168000000000002E-2</v>
      </c>
      <c r="N2539" s="1478">
        <v>1.7032195236650169</v>
      </c>
      <c r="O2539" s="1478"/>
    </row>
    <row r="2540" spans="11:15">
      <c r="K2540" s="1475">
        <v>44597</v>
      </c>
      <c r="L2540" s="1476"/>
      <c r="M2540" s="1477">
        <v>0</v>
      </c>
      <c r="N2540" s="1478">
        <v>1.7032195236650169</v>
      </c>
      <c r="O2540" s="1478"/>
    </row>
    <row r="2541" spans="11:15">
      <c r="K2541" s="1475">
        <v>44598</v>
      </c>
      <c r="L2541" s="1476"/>
      <c r="M2541" s="1477">
        <v>0</v>
      </c>
      <c r="N2541" s="1478">
        <v>1.7032195236650169</v>
      </c>
      <c r="O2541" s="1478"/>
    </row>
    <row r="2542" spans="11:15">
      <c r="K2542" s="1475">
        <v>44599</v>
      </c>
      <c r="L2542" s="1476" t="s">
        <v>2127</v>
      </c>
      <c r="M2542" s="1477">
        <v>4.0168000000000002E-2</v>
      </c>
      <c r="N2542" s="1478">
        <v>1.7039036728832826</v>
      </c>
      <c r="O2542" s="1478"/>
    </row>
    <row r="2543" spans="11:15">
      <c r="K2543" s="1475">
        <v>44600</v>
      </c>
      <c r="L2543" s="1476" t="s">
        <v>2127</v>
      </c>
      <c r="M2543" s="1477">
        <v>4.0168000000000002E-2</v>
      </c>
      <c r="N2543" s="1478">
        <v>1.7045880969106062</v>
      </c>
      <c r="O2543" s="1478"/>
    </row>
    <row r="2544" spans="11:15">
      <c r="K2544" s="1475">
        <v>44601</v>
      </c>
      <c r="L2544" s="1476" t="s">
        <v>2127</v>
      </c>
      <c r="M2544" s="1477">
        <v>4.0168000000000002E-2</v>
      </c>
      <c r="N2544" s="1478">
        <v>1.7052727958573732</v>
      </c>
      <c r="O2544" s="1478"/>
    </row>
    <row r="2545" spans="11:15">
      <c r="K2545" s="1475">
        <v>44602</v>
      </c>
      <c r="L2545" s="1476" t="s">
        <v>2127</v>
      </c>
      <c r="M2545" s="1477">
        <v>4.0168000000000002E-2</v>
      </c>
      <c r="N2545" s="1478">
        <v>1.7059577698340131</v>
      </c>
      <c r="O2545" s="1478"/>
    </row>
    <row r="2546" spans="11:15">
      <c r="K2546" s="1475">
        <v>44603</v>
      </c>
      <c r="L2546" s="1476" t="s">
        <v>2127</v>
      </c>
      <c r="M2546" s="1477">
        <v>4.0168000000000002E-2</v>
      </c>
      <c r="N2546" s="1478">
        <v>1.706643018951</v>
      </c>
      <c r="O2546" s="1478"/>
    </row>
    <row r="2547" spans="11:15">
      <c r="K2547" s="1475">
        <v>44604</v>
      </c>
      <c r="L2547" s="1476"/>
      <c r="M2547" s="1477">
        <v>0</v>
      </c>
      <c r="N2547" s="1478">
        <v>1.706643018951</v>
      </c>
      <c r="O2547" s="1478"/>
    </row>
    <row r="2548" spans="11:15">
      <c r="K2548" s="1475">
        <v>44605</v>
      </c>
      <c r="L2548" s="1476"/>
      <c r="M2548" s="1477">
        <v>0</v>
      </c>
      <c r="N2548" s="1478">
        <v>1.706643018951</v>
      </c>
      <c r="O2548" s="1478"/>
    </row>
    <row r="2549" spans="11:15">
      <c r="K2549" s="1475">
        <v>44606</v>
      </c>
      <c r="L2549" s="1476" t="s">
        <v>2127</v>
      </c>
      <c r="M2549" s="1477">
        <v>4.0168000000000002E-2</v>
      </c>
      <c r="N2549" s="1478">
        <v>1.7073285433188521</v>
      </c>
      <c r="O2549" s="1478"/>
    </row>
    <row r="2550" spans="11:15">
      <c r="K2550" s="1475">
        <v>44607</v>
      </c>
      <c r="L2550" s="1476" t="s">
        <v>2127</v>
      </c>
      <c r="M2550" s="1477">
        <v>4.0168000000000002E-2</v>
      </c>
      <c r="N2550" s="1478">
        <v>1.7080143430481323</v>
      </c>
      <c r="O2550" s="1478"/>
    </row>
    <row r="2551" spans="11:15">
      <c r="K2551" s="1475">
        <v>44608</v>
      </c>
      <c r="L2551" s="1476" t="s">
        <v>2127</v>
      </c>
      <c r="M2551" s="1477">
        <v>4.0168000000000002E-2</v>
      </c>
      <c r="N2551" s="1478">
        <v>1.7087004182494478</v>
      </c>
      <c r="O2551" s="1478"/>
    </row>
    <row r="2552" spans="11:15">
      <c r="K2552" s="1475">
        <v>44609</v>
      </c>
      <c r="L2552" s="1476" t="s">
        <v>2127</v>
      </c>
      <c r="M2552" s="1477">
        <v>4.0168000000000002E-2</v>
      </c>
      <c r="N2552" s="1478">
        <v>1.7093867690334503</v>
      </c>
      <c r="O2552" s="1478"/>
    </row>
    <row r="2553" spans="11:15">
      <c r="K2553" s="1475">
        <v>44610</v>
      </c>
      <c r="L2553" s="1476" t="s">
        <v>2127</v>
      </c>
      <c r="M2553" s="1477">
        <v>4.0168000000000002E-2</v>
      </c>
      <c r="N2553" s="1478">
        <v>1.7100733955108356</v>
      </c>
      <c r="O2553" s="1478"/>
    </row>
    <row r="2554" spans="11:15">
      <c r="K2554" s="1475">
        <v>44611</v>
      </c>
      <c r="L2554" s="1476"/>
      <c r="M2554" s="1477">
        <v>0</v>
      </c>
      <c r="N2554" s="1478">
        <v>1.7100733955108356</v>
      </c>
      <c r="O2554" s="1478"/>
    </row>
    <row r="2555" spans="11:15">
      <c r="K2555" s="1475">
        <v>44612</v>
      </c>
      <c r="L2555" s="1476"/>
      <c r="M2555" s="1477">
        <v>0</v>
      </c>
      <c r="N2555" s="1478">
        <v>1.7100733955108356</v>
      </c>
      <c r="O2555" s="1478"/>
    </row>
    <row r="2556" spans="11:15">
      <c r="K2556" s="1475">
        <v>44613</v>
      </c>
      <c r="L2556" s="1476" t="s">
        <v>2127</v>
      </c>
      <c r="M2556" s="1477">
        <v>4.0168000000000002E-2</v>
      </c>
      <c r="N2556" s="1478">
        <v>1.7107602977923444</v>
      </c>
      <c r="O2556" s="1478"/>
    </row>
    <row r="2557" spans="11:15">
      <c r="K2557" s="1475">
        <v>44614</v>
      </c>
      <c r="L2557" s="1476" t="s">
        <v>2127</v>
      </c>
      <c r="M2557" s="1477">
        <v>4.0168000000000002E-2</v>
      </c>
      <c r="N2557" s="1478">
        <v>1.7114474759887615</v>
      </c>
      <c r="O2557" s="1478"/>
    </row>
    <row r="2558" spans="11:15">
      <c r="K2558" s="1475">
        <v>44615</v>
      </c>
      <c r="L2558" s="1476" t="s">
        <v>2127</v>
      </c>
      <c r="M2558" s="1477">
        <v>4.0168000000000002E-2</v>
      </c>
      <c r="N2558" s="1478">
        <v>1.7121349302109166</v>
      </c>
      <c r="O2558" s="1478"/>
    </row>
    <row r="2559" spans="11:15">
      <c r="K2559" s="1475">
        <v>44616</v>
      </c>
      <c r="L2559" s="1476" t="s">
        <v>2127</v>
      </c>
      <c r="M2559" s="1477">
        <v>4.0168000000000002E-2</v>
      </c>
      <c r="N2559" s="1478">
        <v>1.7128226605696837</v>
      </c>
      <c r="O2559" s="1478"/>
    </row>
    <row r="2560" spans="11:15">
      <c r="K2560" s="1475">
        <v>44617</v>
      </c>
      <c r="L2560" s="1476" t="s">
        <v>2127</v>
      </c>
      <c r="M2560" s="1477">
        <v>4.0168000000000002E-2</v>
      </c>
      <c r="N2560" s="1478">
        <v>1.7135106671759812</v>
      </c>
      <c r="O2560" s="1478"/>
    </row>
    <row r="2561" spans="11:15">
      <c r="K2561" s="1475">
        <v>44618</v>
      </c>
      <c r="L2561" s="1476"/>
      <c r="M2561" s="1477">
        <v>0</v>
      </c>
      <c r="N2561" s="1478">
        <v>1.7135106671759812</v>
      </c>
      <c r="O2561" s="1478"/>
    </row>
    <row r="2562" spans="11:15">
      <c r="K2562" s="1475">
        <v>44619</v>
      </c>
      <c r="L2562" s="1476"/>
      <c r="M2562" s="1477">
        <v>0</v>
      </c>
      <c r="N2562" s="1478">
        <v>1.7135106671759812</v>
      </c>
      <c r="O2562" s="1478"/>
    </row>
    <row r="2563" spans="11:15">
      <c r="K2563" s="1475">
        <v>44620</v>
      </c>
      <c r="L2563" s="1476"/>
      <c r="M2563" s="1477">
        <v>0</v>
      </c>
      <c r="N2563" s="1478">
        <v>1.7135106671759812</v>
      </c>
      <c r="O2563" s="1478"/>
    </row>
    <row r="2564" spans="11:15">
      <c r="K2564" s="1475">
        <v>44621</v>
      </c>
      <c r="L2564" s="1476"/>
      <c r="M2564" s="1477">
        <v>0</v>
      </c>
      <c r="N2564" s="1478">
        <v>1.7135106671759812</v>
      </c>
      <c r="O2564" s="1478"/>
    </row>
    <row r="2565" spans="11:15">
      <c r="K2565" s="1475">
        <v>44622</v>
      </c>
      <c r="L2565" s="1476" t="s">
        <v>2127</v>
      </c>
      <c r="M2565" s="1477">
        <v>4.0168000000000002E-2</v>
      </c>
      <c r="N2565" s="1478">
        <v>1.7141989501407724</v>
      </c>
      <c r="O2565" s="1478"/>
    </row>
    <row r="2566" spans="11:15">
      <c r="K2566" s="1475">
        <v>44623</v>
      </c>
      <c r="L2566" s="1476" t="s">
        <v>2127</v>
      </c>
      <c r="M2566" s="1477">
        <v>4.0168000000000002E-2</v>
      </c>
      <c r="N2566" s="1478">
        <v>1.7148875095750649</v>
      </c>
      <c r="O2566" s="1478"/>
    </row>
    <row r="2567" spans="11:15">
      <c r="K2567" s="1475">
        <v>44624</v>
      </c>
      <c r="L2567" s="1476" t="s">
        <v>2127</v>
      </c>
      <c r="M2567" s="1477">
        <v>4.0168000000000002E-2</v>
      </c>
      <c r="N2567" s="1478">
        <v>1.7155763455899109</v>
      </c>
      <c r="O2567" s="1478"/>
    </row>
    <row r="2568" spans="11:15">
      <c r="K2568" s="1475">
        <v>44625</v>
      </c>
      <c r="L2568" s="1476"/>
      <c r="M2568" s="1477">
        <v>0</v>
      </c>
      <c r="N2568" s="1478">
        <v>1.7155763455899109</v>
      </c>
      <c r="O2568" s="1478"/>
    </row>
    <row r="2569" spans="11:15">
      <c r="K2569" s="1475">
        <v>44626</v>
      </c>
      <c r="L2569" s="1476"/>
      <c r="M2569" s="1477">
        <v>0</v>
      </c>
      <c r="N2569" s="1478">
        <v>1.7155763455899109</v>
      </c>
      <c r="O2569" s="1478"/>
    </row>
    <row r="2570" spans="11:15">
      <c r="K2570" s="1475">
        <v>44627</v>
      </c>
      <c r="L2570" s="1476" t="s">
        <v>2127</v>
      </c>
      <c r="M2570" s="1477">
        <v>4.0168000000000002E-2</v>
      </c>
      <c r="N2570" s="1478">
        <v>1.7162654582964074</v>
      </c>
      <c r="O2570" s="1478"/>
    </row>
    <row r="2571" spans="11:15">
      <c r="K2571" s="1475">
        <v>44628</v>
      </c>
      <c r="L2571" s="1476" t="s">
        <v>2127</v>
      </c>
      <c r="M2571" s="1477">
        <v>4.0168000000000002E-2</v>
      </c>
      <c r="N2571" s="1478">
        <v>1.716954847805696</v>
      </c>
      <c r="O2571" s="1478"/>
    </row>
    <row r="2572" spans="11:15">
      <c r="K2572" s="1475">
        <v>44629</v>
      </c>
      <c r="L2572" s="1476" t="s">
        <v>2127</v>
      </c>
      <c r="M2572" s="1477">
        <v>4.0168000000000002E-2</v>
      </c>
      <c r="N2572" s="1478">
        <v>1.7176445142289625</v>
      </c>
      <c r="O2572" s="1478"/>
    </row>
    <row r="2573" spans="11:15">
      <c r="K2573" s="1475">
        <v>44630</v>
      </c>
      <c r="L2573" s="1476" t="s">
        <v>2127</v>
      </c>
      <c r="M2573" s="1477">
        <v>4.0168000000000002E-2</v>
      </c>
      <c r="N2573" s="1478">
        <v>1.718334457677438</v>
      </c>
      <c r="O2573" s="1478"/>
    </row>
    <row r="2574" spans="11:15">
      <c r="K2574" s="1475">
        <v>44631</v>
      </c>
      <c r="L2574" s="1476" t="s">
        <v>2127</v>
      </c>
      <c r="M2574" s="1477">
        <v>4.0168000000000002E-2</v>
      </c>
      <c r="N2574" s="1478">
        <v>1.7190246782623977</v>
      </c>
      <c r="O2574" s="1478"/>
    </row>
    <row r="2575" spans="11:15">
      <c r="K2575" s="1475">
        <v>44632</v>
      </c>
      <c r="L2575" s="1476"/>
      <c r="M2575" s="1477">
        <v>0</v>
      </c>
      <c r="N2575" s="1478">
        <v>1.7190246782623977</v>
      </c>
      <c r="O2575" s="1478"/>
    </row>
    <row r="2576" spans="11:15">
      <c r="K2576" s="1475">
        <v>44633</v>
      </c>
      <c r="L2576" s="1476"/>
      <c r="M2576" s="1477">
        <v>0</v>
      </c>
      <c r="N2576" s="1478">
        <v>1.7190246782623977</v>
      </c>
      <c r="O2576" s="1478"/>
    </row>
    <row r="2577" spans="11:15">
      <c r="K2577" s="1475">
        <v>44634</v>
      </c>
      <c r="L2577" s="1476" t="s">
        <v>2127</v>
      </c>
      <c r="M2577" s="1477">
        <v>4.0168000000000002E-2</v>
      </c>
      <c r="N2577" s="1478">
        <v>1.7197151760951621</v>
      </c>
      <c r="O2577" s="1478"/>
    </row>
    <row r="2578" spans="11:15">
      <c r="K2578" s="1475">
        <v>44635</v>
      </c>
      <c r="L2578" s="1476" t="s">
        <v>2127</v>
      </c>
      <c r="M2578" s="1477">
        <v>4.0168000000000002E-2</v>
      </c>
      <c r="N2578" s="1478">
        <v>1.7204059512870959</v>
      </c>
      <c r="O2578" s="1478"/>
    </row>
    <row r="2579" spans="11:15">
      <c r="K2579" s="1475">
        <v>44636</v>
      </c>
      <c r="L2579" s="1476" t="s">
        <v>2127</v>
      </c>
      <c r="M2579" s="1477">
        <v>4.0168000000000002E-2</v>
      </c>
      <c r="N2579" s="1478">
        <v>1.721097003949609</v>
      </c>
      <c r="O2579" s="1478"/>
    </row>
    <row r="2580" spans="11:15">
      <c r="K2580" s="1475">
        <v>44637</v>
      </c>
      <c r="L2580" s="1476" t="s">
        <v>2127</v>
      </c>
      <c r="M2580" s="1477">
        <v>4.3739E-2</v>
      </c>
      <c r="N2580" s="1478">
        <v>1.7218497945681666</v>
      </c>
      <c r="O2580" s="1478"/>
    </row>
    <row r="2581" spans="11:15">
      <c r="K2581" s="1475">
        <v>44638</v>
      </c>
      <c r="L2581" s="1476" t="s">
        <v>2127</v>
      </c>
      <c r="M2581" s="1477">
        <v>4.3739E-2</v>
      </c>
      <c r="N2581" s="1478">
        <v>1.7226029144498129</v>
      </c>
      <c r="O2581" s="1478"/>
    </row>
    <row r="2582" spans="11:15">
      <c r="K2582" s="1475">
        <v>44639</v>
      </c>
      <c r="L2582" s="1476"/>
      <c r="M2582" s="1477">
        <v>0</v>
      </c>
      <c r="N2582" s="1478">
        <v>1.7226029144498129</v>
      </c>
      <c r="O2582" s="1478"/>
    </row>
    <row r="2583" spans="11:15">
      <c r="K2583" s="1475">
        <v>44640</v>
      </c>
      <c r="L2583" s="1476"/>
      <c r="M2583" s="1477">
        <v>0</v>
      </c>
      <c r="N2583" s="1478">
        <v>1.7226029144498129</v>
      </c>
      <c r="O2583" s="1478"/>
    </row>
    <row r="2584" spans="11:15">
      <c r="K2584" s="1475">
        <v>44641</v>
      </c>
      <c r="L2584" s="1476" t="s">
        <v>2127</v>
      </c>
      <c r="M2584" s="1477">
        <v>4.3739E-2</v>
      </c>
      <c r="N2584" s="1478">
        <v>1.7233563637385643</v>
      </c>
      <c r="O2584" s="1478"/>
    </row>
    <row r="2585" spans="11:15">
      <c r="K2585" s="1475">
        <v>44642</v>
      </c>
      <c r="L2585" s="1476" t="s">
        <v>2127</v>
      </c>
      <c r="M2585" s="1477">
        <v>4.3739E-2</v>
      </c>
      <c r="N2585" s="1478">
        <v>1.7241101425785001</v>
      </c>
      <c r="O2585" s="1478"/>
    </row>
    <row r="2586" spans="11:15">
      <c r="K2586" s="1475">
        <v>44643</v>
      </c>
      <c r="L2586" s="1476" t="s">
        <v>2127</v>
      </c>
      <c r="M2586" s="1477">
        <v>4.3739E-2</v>
      </c>
      <c r="N2586" s="1478">
        <v>1.7248642511137626</v>
      </c>
      <c r="O2586" s="1478"/>
    </row>
    <row r="2587" spans="11:15">
      <c r="K2587" s="1475">
        <v>44644</v>
      </c>
      <c r="L2587" s="1476" t="s">
        <v>2127</v>
      </c>
      <c r="M2587" s="1477">
        <v>4.3739E-2</v>
      </c>
      <c r="N2587" s="1478">
        <v>1.7256186894885575</v>
      </c>
      <c r="O2587" s="1478"/>
    </row>
    <row r="2588" spans="11:15">
      <c r="K2588" s="1475">
        <v>44645</v>
      </c>
      <c r="L2588" s="1476" t="s">
        <v>2127</v>
      </c>
      <c r="M2588" s="1477">
        <v>4.3739E-2</v>
      </c>
      <c r="N2588" s="1478">
        <v>1.726373457847153</v>
      </c>
      <c r="O2588" s="1478"/>
    </row>
    <row r="2589" spans="11:15">
      <c r="K2589" s="1475">
        <v>44646</v>
      </c>
      <c r="L2589" s="1476"/>
      <c r="M2589" s="1477">
        <v>0</v>
      </c>
      <c r="N2589" s="1478">
        <v>1.726373457847153</v>
      </c>
      <c r="O2589" s="1478"/>
    </row>
    <row r="2590" spans="11:15">
      <c r="K2590" s="1475">
        <v>44647</v>
      </c>
      <c r="L2590" s="1476"/>
      <c r="M2590" s="1477">
        <v>0</v>
      </c>
      <c r="N2590" s="1478">
        <v>1.726373457847153</v>
      </c>
      <c r="O2590" s="1478"/>
    </row>
    <row r="2591" spans="11:15">
      <c r="K2591" s="1475">
        <v>44648</v>
      </c>
      <c r="L2591" s="1476" t="s">
        <v>2127</v>
      </c>
      <c r="M2591" s="1477">
        <v>4.3739E-2</v>
      </c>
      <c r="N2591" s="1478">
        <v>1.727128556333881</v>
      </c>
      <c r="O2591" s="1478"/>
    </row>
    <row r="2592" spans="11:15">
      <c r="K2592" s="1475">
        <v>44649</v>
      </c>
      <c r="L2592" s="1476" t="s">
        <v>2127</v>
      </c>
      <c r="M2592" s="1477">
        <v>4.3739E-2</v>
      </c>
      <c r="N2592" s="1478">
        <v>1.727883985093136</v>
      </c>
      <c r="O2592" s="1478"/>
    </row>
    <row r="2593" spans="11:15">
      <c r="K2593" s="1475">
        <v>44650</v>
      </c>
      <c r="L2593" s="1476" t="s">
        <v>2127</v>
      </c>
      <c r="M2593" s="1477">
        <v>4.3739E-2</v>
      </c>
      <c r="N2593" s="1478">
        <v>1.7286397442693762</v>
      </c>
      <c r="O2593" s="1478"/>
    </row>
    <row r="2594" spans="11:15">
      <c r="K2594" s="1475">
        <v>44651</v>
      </c>
      <c r="L2594" s="1476" t="s">
        <v>2127</v>
      </c>
      <c r="M2594" s="1477">
        <v>4.3739E-2</v>
      </c>
      <c r="N2594" s="1478">
        <v>1.7293958340071223</v>
      </c>
      <c r="O2594" s="1478"/>
    </row>
    <row r="2595" spans="11:15">
      <c r="K2595" s="1475">
        <v>44652</v>
      </c>
      <c r="L2595" s="1476" t="s">
        <v>2127</v>
      </c>
      <c r="M2595" s="1477">
        <v>4.3739E-2</v>
      </c>
      <c r="N2595" s="1478">
        <v>1.7301522544509589</v>
      </c>
      <c r="O2595" s="1478"/>
    </row>
    <row r="2596" spans="11:15">
      <c r="K2596" s="1475">
        <v>44653</v>
      </c>
      <c r="L2596" s="1476"/>
      <c r="M2596" s="1477">
        <v>0</v>
      </c>
      <c r="N2596" s="1478">
        <v>1.7301522544509589</v>
      </c>
      <c r="O2596" s="1478"/>
    </row>
    <row r="2597" spans="11:15">
      <c r="K2597" s="1475">
        <v>44654</v>
      </c>
      <c r="L2597" s="1476"/>
      <c r="M2597" s="1477">
        <v>0</v>
      </c>
      <c r="N2597" s="1478">
        <v>1.7301522544509589</v>
      </c>
      <c r="O2597" s="1478"/>
    </row>
    <row r="2598" spans="11:15">
      <c r="K2598" s="1475">
        <v>44655</v>
      </c>
      <c r="L2598" s="1476" t="s">
        <v>2127</v>
      </c>
      <c r="M2598" s="1477">
        <v>4.3739E-2</v>
      </c>
      <c r="N2598" s="1478">
        <v>1.7309090057455334</v>
      </c>
      <c r="O2598" s="1478"/>
    </row>
    <row r="2599" spans="11:15">
      <c r="K2599" s="1475">
        <v>44656</v>
      </c>
      <c r="L2599" s="1476" t="s">
        <v>2127</v>
      </c>
      <c r="M2599" s="1477">
        <v>4.3739E-2</v>
      </c>
      <c r="N2599" s="1478">
        <v>1.7316660880355565</v>
      </c>
      <c r="O2599" s="1478"/>
    </row>
    <row r="2600" spans="11:15">
      <c r="K2600" s="1475">
        <v>44657</v>
      </c>
      <c r="L2600" s="1476" t="s">
        <v>2127</v>
      </c>
      <c r="M2600" s="1477">
        <v>4.3739E-2</v>
      </c>
      <c r="N2600" s="1478">
        <v>1.7324235014658025</v>
      </c>
      <c r="O2600" s="1478"/>
    </row>
    <row r="2601" spans="11:15">
      <c r="K2601" s="1475">
        <v>44658</v>
      </c>
      <c r="L2601" s="1476" t="s">
        <v>2127</v>
      </c>
      <c r="M2601" s="1477">
        <v>4.3739E-2</v>
      </c>
      <c r="N2601" s="1478">
        <v>1.7331812461811087</v>
      </c>
      <c r="O2601" s="1478"/>
    </row>
    <row r="2602" spans="11:15">
      <c r="K2602" s="1475">
        <v>44659</v>
      </c>
      <c r="L2602" s="1476" t="s">
        <v>2127</v>
      </c>
      <c r="M2602" s="1477">
        <v>4.3739E-2</v>
      </c>
      <c r="N2602" s="1478">
        <v>1.7339393223263759</v>
      </c>
      <c r="O2602" s="1478"/>
    </row>
    <row r="2603" spans="11:15">
      <c r="K2603" s="1475">
        <v>44660</v>
      </c>
      <c r="L2603" s="1476"/>
      <c r="M2603" s="1477">
        <v>0</v>
      </c>
      <c r="N2603" s="1478">
        <v>1.7339393223263759</v>
      </c>
      <c r="O2603" s="1478"/>
    </row>
    <row r="2604" spans="11:15">
      <c r="K2604" s="1475">
        <v>44661</v>
      </c>
      <c r="L2604" s="1476"/>
      <c r="M2604" s="1477">
        <v>0</v>
      </c>
      <c r="N2604" s="1478">
        <v>1.7339393223263759</v>
      </c>
      <c r="O2604" s="1478"/>
    </row>
    <row r="2605" spans="11:15">
      <c r="K2605" s="1475">
        <v>44662</v>
      </c>
      <c r="L2605" s="1476" t="s">
        <v>2127</v>
      </c>
      <c r="M2605" s="1477">
        <v>4.3739E-2</v>
      </c>
      <c r="N2605" s="1478">
        <v>1.7346977300465685</v>
      </c>
      <c r="O2605" s="1478"/>
    </row>
    <row r="2606" spans="11:15">
      <c r="K2606" s="1475">
        <v>44663</v>
      </c>
      <c r="L2606" s="1476" t="s">
        <v>2127</v>
      </c>
      <c r="M2606" s="1477">
        <v>4.3739E-2</v>
      </c>
      <c r="N2606" s="1478">
        <v>1.7354564694867136</v>
      </c>
      <c r="O2606" s="1478"/>
    </row>
    <row r="2607" spans="11:15">
      <c r="K2607" s="1475">
        <v>44664</v>
      </c>
      <c r="L2607" s="1476" t="s">
        <v>2127</v>
      </c>
      <c r="M2607" s="1477">
        <v>4.3739E-2</v>
      </c>
      <c r="N2607" s="1478">
        <v>1.7362155407919027</v>
      </c>
      <c r="O2607" s="1478"/>
    </row>
    <row r="2608" spans="11:15">
      <c r="K2608" s="1475">
        <v>44665</v>
      </c>
      <c r="L2608" s="1476" t="s">
        <v>2127</v>
      </c>
      <c r="M2608" s="1477">
        <v>4.3739E-2</v>
      </c>
      <c r="N2608" s="1478">
        <v>1.7369749441072897</v>
      </c>
      <c r="O2608" s="1478"/>
    </row>
    <row r="2609" spans="11:15">
      <c r="K2609" s="1475">
        <v>44666</v>
      </c>
      <c r="L2609" s="1476"/>
      <c r="M2609" s="1477">
        <v>0</v>
      </c>
      <c r="N2609" s="1478">
        <v>1.7369749441072897</v>
      </c>
      <c r="O2609" s="1478"/>
    </row>
    <row r="2610" spans="11:15">
      <c r="K2610" s="1475">
        <v>44667</v>
      </c>
      <c r="L2610" s="1476"/>
      <c r="M2610" s="1477">
        <v>0</v>
      </c>
      <c r="N2610" s="1478">
        <v>1.7369749441072897</v>
      </c>
      <c r="O2610" s="1478"/>
    </row>
    <row r="2611" spans="11:15">
      <c r="K2611" s="1475">
        <v>44668</v>
      </c>
      <c r="L2611" s="1476"/>
      <c r="M2611" s="1477">
        <v>0</v>
      </c>
      <c r="N2611" s="1478">
        <v>1.7369749441072897</v>
      </c>
      <c r="O2611" s="1478"/>
    </row>
    <row r="2612" spans="11:15">
      <c r="K2612" s="1475">
        <v>44669</v>
      </c>
      <c r="L2612" s="1476" t="s">
        <v>2127</v>
      </c>
      <c r="M2612" s="1477">
        <v>4.3739E-2</v>
      </c>
      <c r="N2612" s="1478">
        <v>1.737734679578093</v>
      </c>
      <c r="O2612" s="1478"/>
    </row>
    <row r="2613" spans="11:15">
      <c r="K2613" s="1475">
        <v>44670</v>
      </c>
      <c r="L2613" s="1476" t="s">
        <v>2127</v>
      </c>
      <c r="M2613" s="1477">
        <v>4.3739E-2</v>
      </c>
      <c r="N2613" s="1478">
        <v>1.7384947473495937</v>
      </c>
      <c r="O2613" s="1478"/>
    </row>
    <row r="2614" spans="11:15">
      <c r="K2614" s="1475">
        <v>44671</v>
      </c>
      <c r="L2614" s="1476" t="s">
        <v>2127</v>
      </c>
      <c r="M2614" s="1477">
        <v>4.3739E-2</v>
      </c>
      <c r="N2614" s="1478">
        <v>1.7392551475671372</v>
      </c>
      <c r="O2614" s="1478"/>
    </row>
    <row r="2615" spans="11:15">
      <c r="K2615" s="1475">
        <v>44672</v>
      </c>
      <c r="L2615" s="1476"/>
      <c r="M2615" s="1477">
        <v>0</v>
      </c>
      <c r="N2615" s="1478">
        <v>1.7392551475671372</v>
      </c>
      <c r="O2615" s="1478"/>
    </row>
    <row r="2616" spans="11:15">
      <c r="K2616" s="1475">
        <v>44673</v>
      </c>
      <c r="L2616" s="1476" t="s">
        <v>2127</v>
      </c>
      <c r="M2616" s="1477">
        <v>4.3739E-2</v>
      </c>
      <c r="N2616" s="1478">
        <v>1.7400158803761316</v>
      </c>
      <c r="O2616" s="1478"/>
    </row>
    <row r="2617" spans="11:15">
      <c r="K2617" s="1475">
        <v>44674</v>
      </c>
      <c r="L2617" s="1476"/>
      <c r="M2617" s="1477">
        <v>0</v>
      </c>
      <c r="N2617" s="1478">
        <v>1.7400158803761316</v>
      </c>
      <c r="O2617" s="1478"/>
    </row>
    <row r="2618" spans="11:15">
      <c r="K2618" s="1475">
        <v>44675</v>
      </c>
      <c r="L2618" s="1476"/>
      <c r="M2618" s="1477">
        <v>0</v>
      </c>
      <c r="N2618" s="1478">
        <v>1.7400158803761316</v>
      </c>
      <c r="O2618" s="1478"/>
    </row>
    <row r="2619" spans="11:15">
      <c r="K2619" s="1475">
        <v>44676</v>
      </c>
      <c r="L2619" s="1476" t="s">
        <v>2127</v>
      </c>
      <c r="M2619" s="1477">
        <v>4.3739E-2</v>
      </c>
      <c r="N2619" s="1478">
        <v>1.7407769459220495</v>
      </c>
      <c r="O2619" s="1478"/>
    </row>
    <row r="2620" spans="11:15">
      <c r="K2620" s="1475">
        <v>44677</v>
      </c>
      <c r="L2620" s="1476" t="s">
        <v>2127</v>
      </c>
      <c r="M2620" s="1477">
        <v>4.3739E-2</v>
      </c>
      <c r="N2620" s="1478">
        <v>1.7415383443504264</v>
      </c>
      <c r="O2620" s="1478"/>
    </row>
    <row r="2621" spans="11:15">
      <c r="K2621" s="1475">
        <v>44678</v>
      </c>
      <c r="L2621" s="1476" t="s">
        <v>2127</v>
      </c>
      <c r="M2621" s="1477">
        <v>4.3739E-2</v>
      </c>
      <c r="N2621" s="1478">
        <v>1.7423000758068621</v>
      </c>
      <c r="O2621" s="1478"/>
    </row>
    <row r="2622" spans="11:15">
      <c r="K2622" s="1475">
        <v>44679</v>
      </c>
      <c r="L2622" s="1476" t="s">
        <v>2127</v>
      </c>
      <c r="M2622" s="1477">
        <v>4.3739E-2</v>
      </c>
      <c r="N2622" s="1478">
        <v>1.7430621404370195</v>
      </c>
      <c r="O2622" s="1478"/>
    </row>
    <row r="2623" spans="11:15">
      <c r="K2623" s="1475">
        <v>44680</v>
      </c>
      <c r="L2623" s="1476" t="s">
        <v>2127</v>
      </c>
      <c r="M2623" s="1477">
        <v>4.3739E-2</v>
      </c>
      <c r="N2623" s="1478">
        <v>1.7438245383866253</v>
      </c>
      <c r="O2623" s="1478"/>
    </row>
    <row r="2624" spans="11:15">
      <c r="K2624" s="1475">
        <v>44681</v>
      </c>
      <c r="L2624" s="1476"/>
      <c r="M2624" s="1477">
        <v>0</v>
      </c>
      <c r="N2624" s="1478">
        <v>1.7438245383866253</v>
      </c>
      <c r="O2624" s="1478"/>
    </row>
    <row r="2625" spans="11:15">
      <c r="K2625" s="1475">
        <v>44682</v>
      </c>
      <c r="L2625" s="1476"/>
      <c r="M2625" s="1477">
        <v>0</v>
      </c>
      <c r="N2625" s="1478">
        <v>1.7438245383866253</v>
      </c>
      <c r="O2625" s="1478"/>
    </row>
    <row r="2626" spans="11:15">
      <c r="K2626" s="1475">
        <v>44683</v>
      </c>
      <c r="L2626" s="1476" t="s">
        <v>2127</v>
      </c>
      <c r="M2626" s="1477">
        <v>4.3739E-2</v>
      </c>
      <c r="N2626" s="1478">
        <v>1.7445872698014704</v>
      </c>
      <c r="O2626" s="1478"/>
    </row>
    <row r="2627" spans="11:15">
      <c r="K2627" s="1475">
        <v>44684</v>
      </c>
      <c r="L2627" s="1476" t="s">
        <v>2127</v>
      </c>
      <c r="M2627" s="1477">
        <v>4.3739E-2</v>
      </c>
      <c r="N2627" s="1478">
        <v>1.7453503348274091</v>
      </c>
      <c r="O2627" s="1478"/>
    </row>
    <row r="2628" spans="11:15">
      <c r="K2628" s="1475">
        <v>44685</v>
      </c>
      <c r="L2628" s="1476" t="s">
        <v>2127</v>
      </c>
      <c r="M2628" s="1477">
        <v>4.3739E-2</v>
      </c>
      <c r="N2628" s="1478">
        <v>1.7461137336103594</v>
      </c>
      <c r="O2628" s="1478"/>
    </row>
    <row r="2629" spans="11:15">
      <c r="K2629" s="1475">
        <v>44686</v>
      </c>
      <c r="L2629" s="1476" t="s">
        <v>2127</v>
      </c>
      <c r="M2629" s="1477">
        <v>4.7279000000000002E-2</v>
      </c>
      <c r="N2629" s="1478">
        <v>1.7469392787224729</v>
      </c>
      <c r="O2629" s="1478"/>
    </row>
    <row r="2630" spans="11:15">
      <c r="K2630" s="1475">
        <v>44687</v>
      </c>
      <c r="L2630" s="1476" t="s">
        <v>2127</v>
      </c>
      <c r="M2630" s="1477">
        <v>4.7279000000000002E-2</v>
      </c>
      <c r="N2630" s="1478">
        <v>1.7477652141440598</v>
      </c>
      <c r="O2630" s="1478"/>
    </row>
    <row r="2631" spans="11:15">
      <c r="K2631" s="1475">
        <v>44688</v>
      </c>
      <c r="L2631" s="1476"/>
      <c r="M2631" s="1477">
        <v>0</v>
      </c>
      <c r="N2631" s="1478">
        <v>1.7477652141440598</v>
      </c>
      <c r="O2631" s="1478"/>
    </row>
    <row r="2632" spans="11:15">
      <c r="K2632" s="1475">
        <v>44689</v>
      </c>
      <c r="L2632" s="1476"/>
      <c r="M2632" s="1477">
        <v>0</v>
      </c>
      <c r="N2632" s="1478">
        <v>1.7477652141440598</v>
      </c>
      <c r="O2632" s="1478"/>
    </row>
    <row r="2633" spans="11:15">
      <c r="K2633" s="1475">
        <v>44690</v>
      </c>
      <c r="L2633" s="1476" t="s">
        <v>2127</v>
      </c>
      <c r="M2633" s="1477">
        <v>4.7279000000000002E-2</v>
      </c>
      <c r="N2633" s="1478">
        <v>1.7485915400596548</v>
      </c>
      <c r="O2633" s="1478"/>
    </row>
    <row r="2634" spans="11:15">
      <c r="K2634" s="1475">
        <v>44691</v>
      </c>
      <c r="L2634" s="1476" t="s">
        <v>2127</v>
      </c>
      <c r="M2634" s="1477">
        <v>4.7279000000000002E-2</v>
      </c>
      <c r="N2634" s="1478">
        <v>1.7494182566538794</v>
      </c>
      <c r="O2634" s="1478"/>
    </row>
    <row r="2635" spans="11:15">
      <c r="K2635" s="1475">
        <v>44692</v>
      </c>
      <c r="L2635" s="1476" t="s">
        <v>2127</v>
      </c>
      <c r="M2635" s="1477">
        <v>4.7279000000000002E-2</v>
      </c>
      <c r="N2635" s="1478">
        <v>1.7502453641114426</v>
      </c>
      <c r="O2635" s="1478"/>
    </row>
    <row r="2636" spans="11:15">
      <c r="K2636" s="1475">
        <v>44693</v>
      </c>
      <c r="L2636" s="1476" t="s">
        <v>2127</v>
      </c>
      <c r="M2636" s="1477">
        <v>4.7279000000000002E-2</v>
      </c>
      <c r="N2636" s="1478">
        <v>1.7510728626171406</v>
      </c>
      <c r="O2636" s="1478"/>
    </row>
    <row r="2637" spans="11:15">
      <c r="K2637" s="1475">
        <v>44694</v>
      </c>
      <c r="L2637" s="1476" t="s">
        <v>2127</v>
      </c>
      <c r="M2637" s="1477">
        <v>4.7279000000000002E-2</v>
      </c>
      <c r="N2637" s="1478">
        <v>1.7519007523558572</v>
      </c>
      <c r="O2637" s="1478"/>
    </row>
    <row r="2638" spans="11:15">
      <c r="K2638" s="1475">
        <v>44695</v>
      </c>
      <c r="L2638" s="1476"/>
      <c r="M2638" s="1477">
        <v>0</v>
      </c>
      <c r="N2638" s="1478">
        <v>1.7519007523558572</v>
      </c>
      <c r="O2638" s="1478"/>
    </row>
    <row r="2639" spans="11:15">
      <c r="K2639" s="1475">
        <v>44696</v>
      </c>
      <c r="L2639" s="1476"/>
      <c r="M2639" s="1477">
        <v>0</v>
      </c>
      <c r="N2639" s="1478">
        <v>1.7519007523558572</v>
      </c>
      <c r="O2639" s="1478"/>
    </row>
    <row r="2640" spans="11:15">
      <c r="K2640" s="1475">
        <v>44697</v>
      </c>
      <c r="L2640" s="1476" t="s">
        <v>2127</v>
      </c>
      <c r="M2640" s="1477">
        <v>4.7279000000000002E-2</v>
      </c>
      <c r="N2640" s="1478">
        <v>1.7527290335125634</v>
      </c>
      <c r="O2640" s="1478"/>
    </row>
    <row r="2641" spans="11:15">
      <c r="K2641" s="1475">
        <v>44698</v>
      </c>
      <c r="L2641" s="1476" t="s">
        <v>2127</v>
      </c>
      <c r="M2641" s="1477">
        <v>4.7279000000000002E-2</v>
      </c>
      <c r="N2641" s="1478">
        <v>1.7535577062723176</v>
      </c>
      <c r="O2641" s="1478"/>
    </row>
    <row r="2642" spans="11:15">
      <c r="K2642" s="1475">
        <v>44699</v>
      </c>
      <c r="L2642" s="1476" t="s">
        <v>2127</v>
      </c>
      <c r="M2642" s="1477">
        <v>4.7279000000000002E-2</v>
      </c>
      <c r="N2642" s="1478">
        <v>1.7543867708202658</v>
      </c>
      <c r="O2642" s="1478"/>
    </row>
    <row r="2643" spans="11:15">
      <c r="K2643" s="1475">
        <v>44700</v>
      </c>
      <c r="L2643" s="1476" t="s">
        <v>2127</v>
      </c>
      <c r="M2643" s="1477">
        <v>4.7279000000000002E-2</v>
      </c>
      <c r="N2643" s="1478">
        <v>1.7552162273416418</v>
      </c>
      <c r="O2643" s="1478"/>
    </row>
    <row r="2644" spans="11:15">
      <c r="K2644" s="1475">
        <v>44701</v>
      </c>
      <c r="L2644" s="1476" t="s">
        <v>2127</v>
      </c>
      <c r="M2644" s="1477">
        <v>4.7279000000000002E-2</v>
      </c>
      <c r="N2644" s="1478">
        <v>1.7560460760217664</v>
      </c>
      <c r="O2644" s="1478"/>
    </row>
    <row r="2645" spans="11:15">
      <c r="K2645" s="1475">
        <v>44702</v>
      </c>
      <c r="L2645" s="1476"/>
      <c r="M2645" s="1477">
        <v>0</v>
      </c>
      <c r="N2645" s="1478">
        <v>1.7560460760217664</v>
      </c>
      <c r="O2645" s="1478"/>
    </row>
    <row r="2646" spans="11:15">
      <c r="K2646" s="1475">
        <v>44703</v>
      </c>
      <c r="L2646" s="1476"/>
      <c r="M2646" s="1477">
        <v>0</v>
      </c>
      <c r="N2646" s="1478">
        <v>1.7560460760217664</v>
      </c>
      <c r="O2646" s="1478"/>
    </row>
    <row r="2647" spans="11:15">
      <c r="K2647" s="1475">
        <v>44704</v>
      </c>
      <c r="L2647" s="1476" t="s">
        <v>2127</v>
      </c>
      <c r="M2647" s="1477">
        <v>4.7279000000000002E-2</v>
      </c>
      <c r="N2647" s="1478">
        <v>1.7568763170460486</v>
      </c>
      <c r="O2647" s="1478"/>
    </row>
    <row r="2648" spans="11:15">
      <c r="K2648" s="1475">
        <v>44705</v>
      </c>
      <c r="L2648" s="1476" t="s">
        <v>2127</v>
      </c>
      <c r="M2648" s="1477">
        <v>4.7279000000000002E-2</v>
      </c>
      <c r="N2648" s="1478">
        <v>1.7577069505999847</v>
      </c>
      <c r="O2648" s="1478"/>
    </row>
    <row r="2649" spans="11:15">
      <c r="K2649" s="1475">
        <v>44706</v>
      </c>
      <c r="L2649" s="1476" t="s">
        <v>2127</v>
      </c>
      <c r="M2649" s="1477">
        <v>4.7279000000000002E-2</v>
      </c>
      <c r="N2649" s="1478">
        <v>1.7585379768691587</v>
      </c>
      <c r="O2649" s="1478"/>
    </row>
    <row r="2650" spans="11:15">
      <c r="K2650" s="1475">
        <v>44707</v>
      </c>
      <c r="L2650" s="1476" t="s">
        <v>2127</v>
      </c>
      <c r="M2650" s="1477">
        <v>4.7279000000000002E-2</v>
      </c>
      <c r="N2650" s="1478">
        <v>1.7593693960392425</v>
      </c>
      <c r="O2650" s="1478"/>
    </row>
    <row r="2651" spans="11:15">
      <c r="K2651" s="1475">
        <v>44708</v>
      </c>
      <c r="L2651" s="1476" t="s">
        <v>2127</v>
      </c>
      <c r="M2651" s="1477">
        <v>4.7279000000000002E-2</v>
      </c>
      <c r="N2651" s="1478">
        <v>1.7602012082959957</v>
      </c>
      <c r="O2651" s="1478"/>
    </row>
    <row r="2652" spans="11:15">
      <c r="K2652" s="1475">
        <v>44709</v>
      </c>
      <c r="L2652" s="1476"/>
      <c r="M2652" s="1477">
        <v>0</v>
      </c>
      <c r="N2652" s="1478">
        <v>1.7602012082959957</v>
      </c>
      <c r="O2652" s="1478"/>
    </row>
    <row r="2653" spans="11:15">
      <c r="K2653" s="1475">
        <v>44710</v>
      </c>
      <c r="L2653" s="1476"/>
      <c r="M2653" s="1477">
        <v>0</v>
      </c>
      <c r="N2653" s="1478">
        <v>1.7602012082959957</v>
      </c>
      <c r="O2653" s="1478"/>
    </row>
    <row r="2654" spans="11:15">
      <c r="K2654" s="1475">
        <v>44711</v>
      </c>
      <c r="L2654" s="1476" t="s">
        <v>2127</v>
      </c>
      <c r="M2654" s="1477">
        <v>4.7279000000000002E-2</v>
      </c>
      <c r="N2654" s="1478">
        <v>1.7610334138252657</v>
      </c>
      <c r="O2654" s="1478"/>
    </row>
    <row r="2655" spans="11:15">
      <c r="K2655" s="1475">
        <v>44712</v>
      </c>
      <c r="L2655" s="1476" t="s">
        <v>2127</v>
      </c>
      <c r="M2655" s="1477">
        <v>4.7279000000000002E-2</v>
      </c>
      <c r="N2655" s="1478">
        <v>1.7618660128129879</v>
      </c>
      <c r="O2655" s="1478"/>
    </row>
    <row r="2656" spans="11:15">
      <c r="K2656" s="1475">
        <v>44713</v>
      </c>
      <c r="L2656" s="1476" t="s">
        <v>2127</v>
      </c>
      <c r="M2656" s="1477">
        <v>4.7279000000000002E-2</v>
      </c>
      <c r="N2656" s="1478">
        <v>1.7626990054451857</v>
      </c>
      <c r="O2656" s="1478"/>
    </row>
    <row r="2657" spans="11:15">
      <c r="K2657" s="1475">
        <v>44714</v>
      </c>
      <c r="L2657" s="1476" t="s">
        <v>2127</v>
      </c>
      <c r="M2657" s="1477">
        <v>4.7279000000000002E-2</v>
      </c>
      <c r="N2657" s="1478">
        <v>1.76353239190797</v>
      </c>
      <c r="O2657" s="1478"/>
    </row>
    <row r="2658" spans="11:15">
      <c r="K2658" s="1475">
        <v>44715</v>
      </c>
      <c r="L2658" s="1476" t="s">
        <v>2127</v>
      </c>
      <c r="M2658" s="1477">
        <v>4.7279000000000002E-2</v>
      </c>
      <c r="N2658" s="1478">
        <v>1.7643661723875399</v>
      </c>
      <c r="O2658" s="1478"/>
    </row>
    <row r="2659" spans="11:15">
      <c r="K2659" s="1475">
        <v>44716</v>
      </c>
      <c r="L2659" s="1476"/>
      <c r="M2659" s="1477">
        <v>0</v>
      </c>
      <c r="N2659" s="1478">
        <v>1.7643661723875399</v>
      </c>
      <c r="O2659" s="1478"/>
    </row>
    <row r="2660" spans="11:15">
      <c r="K2660" s="1475">
        <v>44717</v>
      </c>
      <c r="L2660" s="1476"/>
      <c r="M2660" s="1477">
        <v>0</v>
      </c>
      <c r="N2660" s="1478">
        <v>1.7643661723875399</v>
      </c>
      <c r="O2660" s="1478"/>
    </row>
    <row r="2661" spans="11:15">
      <c r="K2661" s="1475">
        <v>44718</v>
      </c>
      <c r="L2661" s="1476" t="s">
        <v>2127</v>
      </c>
      <c r="M2661" s="1477">
        <v>4.7279000000000002E-2</v>
      </c>
      <c r="N2661" s="1478">
        <v>1.7652003470701829</v>
      </c>
      <c r="O2661" s="1478"/>
    </row>
    <row r="2662" spans="11:15">
      <c r="K2662" s="1475">
        <v>44719</v>
      </c>
      <c r="L2662" s="1476" t="s">
        <v>2127</v>
      </c>
      <c r="M2662" s="1477">
        <v>4.7279000000000002E-2</v>
      </c>
      <c r="N2662" s="1478">
        <v>1.7660349161422739</v>
      </c>
      <c r="O2662" s="1478"/>
    </row>
    <row r="2663" spans="11:15">
      <c r="K2663" s="1475">
        <v>44720</v>
      </c>
      <c r="L2663" s="1476" t="s">
        <v>2127</v>
      </c>
      <c r="M2663" s="1477">
        <v>4.7279000000000002E-2</v>
      </c>
      <c r="N2663" s="1478">
        <v>1.7668698797902767</v>
      </c>
      <c r="O2663" s="1478"/>
    </row>
    <row r="2664" spans="11:15">
      <c r="K2664" s="1475">
        <v>44721</v>
      </c>
      <c r="L2664" s="1476" t="s">
        <v>2127</v>
      </c>
      <c r="M2664" s="1477">
        <v>4.7279000000000002E-2</v>
      </c>
      <c r="N2664" s="1478">
        <v>1.7677052382007425</v>
      </c>
      <c r="O2664" s="1478"/>
    </row>
    <row r="2665" spans="11:15">
      <c r="K2665" s="1475">
        <v>44722</v>
      </c>
      <c r="L2665" s="1476" t="s">
        <v>2127</v>
      </c>
      <c r="M2665" s="1477">
        <v>4.7279000000000002E-2</v>
      </c>
      <c r="N2665" s="1478">
        <v>1.7685409915603112</v>
      </c>
      <c r="O2665" s="1478"/>
    </row>
    <row r="2666" spans="11:15">
      <c r="K2666" s="1475">
        <v>44723</v>
      </c>
      <c r="L2666" s="1476"/>
      <c r="M2666" s="1477">
        <v>0</v>
      </c>
      <c r="N2666" s="1478">
        <v>1.7685409915603112</v>
      </c>
      <c r="O2666" s="1478"/>
    </row>
    <row r="2667" spans="11:15">
      <c r="K2667" s="1475">
        <v>44724</v>
      </c>
      <c r="L2667" s="1476"/>
      <c r="M2667" s="1477">
        <v>0</v>
      </c>
      <c r="N2667" s="1478">
        <v>1.7685409915603112</v>
      </c>
      <c r="O2667" s="1478"/>
    </row>
    <row r="2668" spans="11:15">
      <c r="K2668" s="1475">
        <v>44725</v>
      </c>
      <c r="L2668" s="1476" t="s">
        <v>2127</v>
      </c>
      <c r="M2668" s="1477">
        <v>4.7279000000000002E-2</v>
      </c>
      <c r="N2668" s="1478">
        <v>1.7693771400557108</v>
      </c>
      <c r="O2668" s="1478"/>
    </row>
    <row r="2669" spans="11:15">
      <c r="K2669" s="1475">
        <v>44726</v>
      </c>
      <c r="L2669" s="1476" t="s">
        <v>2127</v>
      </c>
      <c r="M2669" s="1477">
        <v>4.7279000000000002E-2</v>
      </c>
      <c r="N2669" s="1478">
        <v>1.7702136838737574</v>
      </c>
      <c r="O2669" s="1478"/>
    </row>
    <row r="2670" spans="11:15">
      <c r="K2670" s="1475">
        <v>44727</v>
      </c>
      <c r="L2670" s="1476" t="s">
        <v>2127</v>
      </c>
      <c r="M2670" s="1477">
        <v>4.7279000000000002E-2</v>
      </c>
      <c r="N2670" s="1478">
        <v>1.7710506232013559</v>
      </c>
      <c r="O2670" s="1478"/>
    </row>
    <row r="2671" spans="11:15">
      <c r="K2671" s="1475">
        <v>44728</v>
      </c>
      <c r="L2671" s="1476"/>
      <c r="M2671" s="1477">
        <v>0</v>
      </c>
      <c r="N2671" s="1478">
        <v>1.7710506232013559</v>
      </c>
      <c r="O2671" s="1478"/>
    </row>
    <row r="2672" spans="11:15">
      <c r="K2672" s="1475">
        <v>44729</v>
      </c>
      <c r="L2672" s="1476" t="s">
        <v>2127</v>
      </c>
      <c r="M2672" s="1477">
        <v>4.9036999999999997E-2</v>
      </c>
      <c r="N2672" s="1478">
        <v>1.7719190932954552</v>
      </c>
      <c r="O2672" s="1478"/>
    </row>
    <row r="2673" spans="11:15">
      <c r="K2673" s="1475">
        <v>44730</v>
      </c>
      <c r="L2673" s="1476"/>
      <c r="M2673" s="1477">
        <v>0</v>
      </c>
      <c r="N2673" s="1478">
        <v>1.7719190932954552</v>
      </c>
      <c r="O2673" s="1478"/>
    </row>
    <row r="2674" spans="11:15">
      <c r="K2674" s="1475">
        <v>44731</v>
      </c>
      <c r="L2674" s="1476"/>
      <c r="M2674" s="1477">
        <v>0</v>
      </c>
      <c r="N2674" s="1478">
        <v>1.7719190932954552</v>
      </c>
      <c r="O2674" s="1478"/>
    </row>
    <row r="2675" spans="11:15">
      <c r="K2675" s="1475">
        <v>44732</v>
      </c>
      <c r="L2675" s="1476" t="s">
        <v>2127</v>
      </c>
      <c r="M2675" s="1477">
        <v>4.9036999999999997E-2</v>
      </c>
      <c r="N2675" s="1478">
        <v>1.7727879892612346</v>
      </c>
      <c r="O2675" s="1478"/>
    </row>
    <row r="2676" spans="11:15">
      <c r="K2676" s="1475">
        <v>44733</v>
      </c>
      <c r="L2676" s="1476" t="s">
        <v>2127</v>
      </c>
      <c r="M2676" s="1477">
        <v>4.9036999999999997E-2</v>
      </c>
      <c r="N2676" s="1478">
        <v>1.7736573113075287</v>
      </c>
      <c r="O2676" s="1478"/>
    </row>
    <row r="2677" spans="11:15">
      <c r="K2677" s="1475">
        <v>44734</v>
      </c>
      <c r="L2677" s="1476" t="s">
        <v>2127</v>
      </c>
      <c r="M2677" s="1477">
        <v>4.9036999999999997E-2</v>
      </c>
      <c r="N2677" s="1478">
        <v>1.7745270596432747</v>
      </c>
      <c r="O2677" s="1478"/>
    </row>
    <row r="2678" spans="11:15">
      <c r="K2678" s="1475">
        <v>44735</v>
      </c>
      <c r="L2678" s="1476" t="s">
        <v>2127</v>
      </c>
      <c r="M2678" s="1477">
        <v>4.9036999999999997E-2</v>
      </c>
      <c r="N2678" s="1478">
        <v>1.7753972344775122</v>
      </c>
      <c r="O2678" s="1478"/>
    </row>
    <row r="2679" spans="11:15">
      <c r="K2679" s="1475">
        <v>44736</v>
      </c>
      <c r="L2679" s="1476" t="s">
        <v>2127</v>
      </c>
      <c r="M2679" s="1477">
        <v>4.9036999999999997E-2</v>
      </c>
      <c r="N2679" s="1478">
        <v>1.7762678360193831</v>
      </c>
      <c r="O2679" s="1478"/>
    </row>
    <row r="2680" spans="11:15">
      <c r="K2680" s="1475">
        <v>44737</v>
      </c>
      <c r="L2680" s="1476"/>
      <c r="M2680" s="1477">
        <v>0</v>
      </c>
      <c r="N2680" s="1478">
        <v>1.7762678360193831</v>
      </c>
      <c r="O2680" s="1478"/>
    </row>
    <row r="2681" spans="11:15">
      <c r="K2681" s="1475">
        <v>44738</v>
      </c>
      <c r="L2681" s="1476"/>
      <c r="M2681" s="1477">
        <v>0</v>
      </c>
      <c r="N2681" s="1478">
        <v>1.7762678360193831</v>
      </c>
      <c r="O2681" s="1478"/>
    </row>
    <row r="2682" spans="11:15">
      <c r="K2682" s="1475">
        <v>44739</v>
      </c>
      <c r="L2682" s="1476" t="s">
        <v>2127</v>
      </c>
      <c r="M2682" s="1477">
        <v>4.9036999999999997E-2</v>
      </c>
      <c r="N2682" s="1478">
        <v>1.7771388644781321</v>
      </c>
      <c r="O2682" s="1478"/>
    </row>
    <row r="2683" spans="11:15">
      <c r="K2683" s="1475">
        <v>44740</v>
      </c>
      <c r="L2683" s="1476" t="s">
        <v>2127</v>
      </c>
      <c r="M2683" s="1477">
        <v>4.9036999999999997E-2</v>
      </c>
      <c r="N2683" s="1478">
        <v>1.7780103200631063</v>
      </c>
      <c r="O2683" s="1478"/>
    </row>
    <row r="2684" spans="11:15">
      <c r="K2684" s="1475">
        <v>44741</v>
      </c>
      <c r="L2684" s="1476" t="s">
        <v>2127</v>
      </c>
      <c r="M2684" s="1477">
        <v>4.9036999999999997E-2</v>
      </c>
      <c r="N2684" s="1478">
        <v>1.7788822029837559</v>
      </c>
      <c r="O2684" s="1478"/>
    </row>
    <row r="2685" spans="11:15">
      <c r="K2685" s="1475">
        <v>44742</v>
      </c>
      <c r="L2685" s="1476" t="s">
        <v>2127</v>
      </c>
      <c r="M2685" s="1477">
        <v>4.9036999999999997E-2</v>
      </c>
      <c r="N2685" s="1478">
        <v>1.7797545134496331</v>
      </c>
      <c r="O2685" s="1478"/>
    </row>
    <row r="2686" spans="11:15">
      <c r="K2686" s="1475">
        <v>44743</v>
      </c>
      <c r="L2686" s="1476" t="s">
        <v>2127</v>
      </c>
      <c r="M2686" s="1477">
        <v>4.9036999999999997E-2</v>
      </c>
      <c r="N2686" s="1478">
        <v>1.7806272516703936</v>
      </c>
      <c r="O2686" s="1478"/>
    </row>
    <row r="2687" spans="11:15">
      <c r="K2687" s="1475">
        <v>44744</v>
      </c>
      <c r="L2687" s="1476"/>
      <c r="M2687" s="1477">
        <v>0</v>
      </c>
      <c r="N2687" s="1478">
        <v>1.7806272516703936</v>
      </c>
      <c r="O2687" s="1478"/>
    </row>
    <row r="2688" spans="11:15">
      <c r="K2688" s="1475">
        <v>44745</v>
      </c>
      <c r="L2688" s="1476"/>
      <c r="M2688" s="1477">
        <v>0</v>
      </c>
      <c r="N2688" s="1478">
        <v>1.7806272516703936</v>
      </c>
      <c r="O2688" s="1478"/>
    </row>
    <row r="2689" spans="11:15">
      <c r="K2689" s="1475">
        <v>44746</v>
      </c>
      <c r="L2689" s="1476" t="s">
        <v>2127</v>
      </c>
      <c r="M2689" s="1477">
        <v>4.9036999999999997E-2</v>
      </c>
      <c r="N2689" s="1478">
        <v>1.7815004178557954</v>
      </c>
      <c r="O2689" s="1478"/>
    </row>
    <row r="2690" spans="11:15">
      <c r="K2690" s="1475">
        <v>44747</v>
      </c>
      <c r="L2690" s="1476" t="s">
        <v>2127</v>
      </c>
      <c r="M2690" s="1477">
        <v>4.9036999999999997E-2</v>
      </c>
      <c r="N2690" s="1478">
        <v>1.7823740122156995</v>
      </c>
      <c r="O2690" s="1478"/>
    </row>
    <row r="2691" spans="11:15">
      <c r="K2691" s="1475">
        <v>44748</v>
      </c>
      <c r="L2691" s="1476" t="s">
        <v>2127</v>
      </c>
      <c r="M2691" s="1477">
        <v>4.9036999999999997E-2</v>
      </c>
      <c r="N2691" s="1478">
        <v>1.7832480349600699</v>
      </c>
      <c r="O2691" s="1478"/>
    </row>
    <row r="2692" spans="11:15">
      <c r="K2692" s="1475">
        <v>44749</v>
      </c>
      <c r="L2692" s="1476" t="s">
        <v>2127</v>
      </c>
      <c r="M2692" s="1477">
        <v>4.9036999999999997E-2</v>
      </c>
      <c r="N2692" s="1478">
        <v>1.7841224862989733</v>
      </c>
      <c r="O2692" s="1478"/>
    </row>
    <row r="2693" spans="11:15">
      <c r="K2693" s="1475">
        <v>44750</v>
      </c>
      <c r="L2693" s="1476" t="s">
        <v>2127</v>
      </c>
      <c r="M2693" s="1477">
        <v>4.9036999999999997E-2</v>
      </c>
      <c r="N2693" s="1478">
        <v>1.7849973664425798</v>
      </c>
      <c r="O2693" s="1478"/>
    </row>
    <row r="2694" spans="11:15">
      <c r="K2694" s="1475">
        <v>44751</v>
      </c>
      <c r="L2694" s="1476"/>
      <c r="M2694" s="1477">
        <v>0</v>
      </c>
      <c r="N2694" s="1478">
        <v>1.7849973664425798</v>
      </c>
      <c r="O2694" s="1478"/>
    </row>
    <row r="2695" spans="11:15">
      <c r="K2695" s="1475">
        <v>44752</v>
      </c>
      <c r="L2695" s="1476"/>
      <c r="M2695" s="1477">
        <v>0</v>
      </c>
      <c r="N2695" s="1478">
        <v>1.7849973664425798</v>
      </c>
      <c r="O2695" s="1478"/>
    </row>
    <row r="2696" spans="11:15">
      <c r="K2696" s="1475">
        <v>44753</v>
      </c>
      <c r="L2696" s="1476" t="s">
        <v>2127</v>
      </c>
      <c r="M2696" s="1477">
        <v>4.9036999999999997E-2</v>
      </c>
      <c r="N2696" s="1478">
        <v>1.7858726756011623</v>
      </c>
      <c r="O2696" s="1478"/>
    </row>
    <row r="2697" spans="11:15">
      <c r="K2697" s="1475">
        <v>44754</v>
      </c>
      <c r="L2697" s="1476" t="s">
        <v>2127</v>
      </c>
      <c r="M2697" s="1477">
        <v>4.9036999999999997E-2</v>
      </c>
      <c r="N2697" s="1478">
        <v>1.7867484139850969</v>
      </c>
      <c r="O2697" s="1478"/>
    </row>
    <row r="2698" spans="11:15">
      <c r="K2698" s="1475">
        <v>44755</v>
      </c>
      <c r="L2698" s="1476" t="s">
        <v>2127</v>
      </c>
      <c r="M2698" s="1477">
        <v>4.9036999999999997E-2</v>
      </c>
      <c r="N2698" s="1478">
        <v>1.7876245818048628</v>
      </c>
      <c r="O2698" s="1478"/>
    </row>
    <row r="2699" spans="11:15">
      <c r="K2699" s="1475">
        <v>44756</v>
      </c>
      <c r="L2699" s="1476" t="s">
        <v>2127</v>
      </c>
      <c r="M2699" s="1477">
        <v>4.9036999999999997E-2</v>
      </c>
      <c r="N2699" s="1478">
        <v>1.7885011792710426</v>
      </c>
      <c r="O2699" s="1478"/>
    </row>
    <row r="2700" spans="11:15">
      <c r="K2700" s="1475">
        <v>44757</v>
      </c>
      <c r="L2700" s="1476" t="s">
        <v>2127</v>
      </c>
      <c r="M2700" s="1477">
        <v>4.9036999999999997E-2</v>
      </c>
      <c r="N2700" s="1478">
        <v>1.7893782065943218</v>
      </c>
      <c r="O2700" s="1478"/>
    </row>
    <row r="2701" spans="11:15">
      <c r="K2701" s="1475">
        <v>44758</v>
      </c>
      <c r="L2701" s="1476"/>
      <c r="M2701" s="1477">
        <v>0</v>
      </c>
      <c r="N2701" s="1478">
        <v>1.7893782065943218</v>
      </c>
      <c r="O2701" s="1478"/>
    </row>
    <row r="2702" spans="11:15">
      <c r="K2702" s="1475">
        <v>44759</v>
      </c>
      <c r="L2702" s="1476"/>
      <c r="M2702" s="1477">
        <v>0</v>
      </c>
      <c r="N2702" s="1478">
        <v>1.7893782065943218</v>
      </c>
      <c r="O2702" s="1478"/>
    </row>
    <row r="2703" spans="11:15">
      <c r="K2703" s="1475">
        <v>44760</v>
      </c>
      <c r="L2703" s="1476" t="s">
        <v>2127</v>
      </c>
      <c r="M2703" s="1477">
        <v>4.9036999999999997E-2</v>
      </c>
      <c r="N2703" s="1478">
        <v>1.7902556639854896</v>
      </c>
      <c r="O2703" s="1478"/>
    </row>
    <row r="2704" spans="11:15">
      <c r="K2704" s="1475">
        <v>44761</v>
      </c>
      <c r="L2704" s="1476" t="s">
        <v>2127</v>
      </c>
      <c r="M2704" s="1477">
        <v>4.9036999999999997E-2</v>
      </c>
      <c r="N2704" s="1478">
        <v>1.7911335516554383</v>
      </c>
      <c r="O2704" s="1478"/>
    </row>
    <row r="2705" spans="11:15">
      <c r="K2705" s="1475">
        <v>44762</v>
      </c>
      <c r="L2705" s="1476" t="s">
        <v>2127</v>
      </c>
      <c r="M2705" s="1477">
        <v>4.9036999999999997E-2</v>
      </c>
      <c r="N2705" s="1478">
        <v>1.7920118698151637</v>
      </c>
      <c r="O2705" s="1478"/>
    </row>
    <row r="2706" spans="11:15">
      <c r="K2706" s="1475">
        <v>44763</v>
      </c>
      <c r="L2706" s="1476" t="s">
        <v>2127</v>
      </c>
      <c r="M2706" s="1477">
        <v>4.9036999999999997E-2</v>
      </c>
      <c r="N2706" s="1478">
        <v>1.7928906186757652</v>
      </c>
      <c r="O2706" s="1478"/>
    </row>
    <row r="2707" spans="11:15">
      <c r="K2707" s="1475">
        <v>44764</v>
      </c>
      <c r="L2707" s="1476" t="s">
        <v>2127</v>
      </c>
      <c r="M2707" s="1477">
        <v>4.9036999999999997E-2</v>
      </c>
      <c r="N2707" s="1478">
        <v>1.7937697984484453</v>
      </c>
      <c r="O2707" s="1478"/>
    </row>
    <row r="2708" spans="11:15">
      <c r="K2708" s="1475">
        <v>44765</v>
      </c>
      <c r="L2708" s="1476"/>
      <c r="M2708" s="1477">
        <v>0</v>
      </c>
      <c r="N2708" s="1478">
        <v>1.7937697984484453</v>
      </c>
      <c r="O2708" s="1478"/>
    </row>
    <row r="2709" spans="11:15">
      <c r="K2709" s="1475">
        <v>44766</v>
      </c>
      <c r="L2709" s="1476"/>
      <c r="M2709" s="1477">
        <v>0</v>
      </c>
      <c r="N2709" s="1478">
        <v>1.7937697984484453</v>
      </c>
      <c r="O2709" s="1478"/>
    </row>
    <row r="2710" spans="11:15">
      <c r="K2710" s="1475">
        <v>44767</v>
      </c>
      <c r="L2710" s="1476" t="s">
        <v>2127</v>
      </c>
      <c r="M2710" s="1477">
        <v>4.9036999999999997E-2</v>
      </c>
      <c r="N2710" s="1478">
        <v>1.7946494093445107</v>
      </c>
      <c r="O2710" s="1478"/>
    </row>
    <row r="2711" spans="11:15">
      <c r="K2711" s="1475">
        <v>44768</v>
      </c>
      <c r="L2711" s="1476" t="s">
        <v>2127</v>
      </c>
      <c r="M2711" s="1477">
        <v>4.9036999999999997E-2</v>
      </c>
      <c r="N2711" s="1478">
        <v>1.795529451575371</v>
      </c>
      <c r="O2711" s="1478"/>
    </row>
    <row r="2712" spans="11:15">
      <c r="K2712" s="1475">
        <v>44769</v>
      </c>
      <c r="L2712" s="1476" t="s">
        <v>2127</v>
      </c>
      <c r="M2712" s="1477">
        <v>4.9036999999999997E-2</v>
      </c>
      <c r="N2712" s="1478">
        <v>1.7964099253525401</v>
      </c>
      <c r="O2712" s="1478"/>
    </row>
    <row r="2713" spans="11:15">
      <c r="K2713" s="1475">
        <v>44770</v>
      </c>
      <c r="L2713" s="1476" t="s">
        <v>2127</v>
      </c>
      <c r="M2713" s="1477">
        <v>4.9036999999999997E-2</v>
      </c>
      <c r="N2713" s="1478">
        <v>1.7972908308876354</v>
      </c>
      <c r="O2713" s="1478"/>
    </row>
    <row r="2714" spans="11:15">
      <c r="K2714" s="1475">
        <v>44771</v>
      </c>
      <c r="L2714" s="1476" t="s">
        <v>2127</v>
      </c>
      <c r="M2714" s="1477">
        <v>4.9036999999999997E-2</v>
      </c>
      <c r="N2714" s="1478">
        <v>1.7981721683923779</v>
      </c>
      <c r="O2714" s="1478"/>
    </row>
    <row r="2715" spans="11:15">
      <c r="K2715" s="1475">
        <v>44772</v>
      </c>
      <c r="L2715" s="1476"/>
      <c r="M2715" s="1477">
        <v>0</v>
      </c>
      <c r="N2715" s="1478">
        <v>1.7981721683923779</v>
      </c>
      <c r="O2715" s="1478"/>
    </row>
    <row r="2716" spans="11:15">
      <c r="K2716" s="1475">
        <v>44773</v>
      </c>
      <c r="L2716" s="1476"/>
      <c r="M2716" s="1477">
        <v>0</v>
      </c>
      <c r="N2716" s="1478">
        <v>1.7981721683923779</v>
      </c>
      <c r="O2716" s="1478"/>
    </row>
    <row r="2717" spans="11:15">
      <c r="K2717" s="1475">
        <v>44774</v>
      </c>
      <c r="L2717" s="1476" t="s">
        <v>2127</v>
      </c>
      <c r="M2717" s="1477">
        <v>4.9036999999999997E-2</v>
      </c>
      <c r="N2717" s="1478">
        <v>1.7990539380785926</v>
      </c>
      <c r="O2717" s="1478"/>
    </row>
    <row r="2718" spans="11:15">
      <c r="K2718" s="1475">
        <v>44775</v>
      </c>
      <c r="L2718" s="1476" t="s">
        <v>2127</v>
      </c>
      <c r="M2718" s="1477">
        <v>4.9036999999999997E-2</v>
      </c>
      <c r="N2718" s="1478">
        <v>1.7999361401582084</v>
      </c>
      <c r="O2718" s="1478"/>
    </row>
    <row r="2719" spans="11:15">
      <c r="K2719" s="1475">
        <v>44776</v>
      </c>
      <c r="L2719" s="1476" t="s">
        <v>2127</v>
      </c>
      <c r="M2719" s="1477">
        <v>4.9036999999999997E-2</v>
      </c>
      <c r="N2719" s="1478">
        <v>1.8008187748432578</v>
      </c>
      <c r="O2719" s="1478"/>
    </row>
    <row r="2720" spans="11:15">
      <c r="K2720" s="1475">
        <v>44777</v>
      </c>
      <c r="L2720" s="1476" t="s">
        <v>2127</v>
      </c>
      <c r="M2720" s="1477">
        <v>5.0788E-2</v>
      </c>
      <c r="N2720" s="1478">
        <v>1.8017333746826252</v>
      </c>
      <c r="O2720" s="1478"/>
    </row>
    <row r="2721" spans="11:15">
      <c r="K2721" s="1475">
        <v>44778</v>
      </c>
      <c r="L2721" s="1476" t="s">
        <v>2127</v>
      </c>
      <c r="M2721" s="1477">
        <v>5.0788E-2</v>
      </c>
      <c r="N2721" s="1478">
        <v>1.802648439028959</v>
      </c>
      <c r="O2721" s="1478"/>
    </row>
    <row r="2722" spans="11:15">
      <c r="K2722" s="1475">
        <v>44779</v>
      </c>
      <c r="L2722" s="1476"/>
      <c r="M2722" s="1477">
        <v>0</v>
      </c>
      <c r="N2722" s="1478">
        <v>1.802648439028959</v>
      </c>
      <c r="O2722" s="1478"/>
    </row>
    <row r="2723" spans="11:15">
      <c r="K2723" s="1475">
        <v>44780</v>
      </c>
      <c r="L2723" s="1476"/>
      <c r="M2723" s="1477">
        <v>0</v>
      </c>
      <c r="N2723" s="1478">
        <v>1.802648439028959</v>
      </c>
      <c r="O2723" s="1478"/>
    </row>
    <row r="2724" spans="11:15">
      <c r="K2724" s="1475">
        <v>44781</v>
      </c>
      <c r="L2724" s="1476" t="s">
        <v>2127</v>
      </c>
      <c r="M2724" s="1477">
        <v>5.0788E-2</v>
      </c>
      <c r="N2724" s="1478">
        <v>1.803563968118173</v>
      </c>
      <c r="O2724" s="1478"/>
    </row>
    <row r="2725" spans="11:15">
      <c r="K2725" s="1475">
        <v>44782</v>
      </c>
      <c r="L2725" s="1476" t="s">
        <v>2127</v>
      </c>
      <c r="M2725" s="1477">
        <v>5.0788E-2</v>
      </c>
      <c r="N2725" s="1478">
        <v>1.8044799621863008</v>
      </c>
      <c r="O2725" s="1478"/>
    </row>
    <row r="2726" spans="11:15">
      <c r="K2726" s="1475">
        <v>44783</v>
      </c>
      <c r="L2726" s="1476" t="s">
        <v>2127</v>
      </c>
      <c r="M2726" s="1477">
        <v>5.0788E-2</v>
      </c>
      <c r="N2726" s="1478">
        <v>1.805396421469496</v>
      </c>
      <c r="O2726" s="1478"/>
    </row>
    <row r="2727" spans="11:15">
      <c r="K2727" s="1475">
        <v>44784</v>
      </c>
      <c r="L2727" s="1476" t="s">
        <v>2127</v>
      </c>
      <c r="M2727" s="1477">
        <v>5.0788E-2</v>
      </c>
      <c r="N2727" s="1478">
        <v>1.8063133462040319</v>
      </c>
      <c r="O2727" s="1478"/>
    </row>
    <row r="2728" spans="11:15">
      <c r="K2728" s="1475">
        <v>44785</v>
      </c>
      <c r="L2728" s="1476" t="s">
        <v>2127</v>
      </c>
      <c r="M2728" s="1477">
        <v>5.0788E-2</v>
      </c>
      <c r="N2728" s="1478">
        <v>1.8072307366263021</v>
      </c>
      <c r="O2728" s="1478"/>
    </row>
    <row r="2729" spans="11:15">
      <c r="K2729" s="1475">
        <v>44786</v>
      </c>
      <c r="L2729" s="1476"/>
      <c r="M2729" s="1477">
        <v>0</v>
      </c>
      <c r="N2729" s="1478">
        <v>1.8072307366263021</v>
      </c>
      <c r="O2729" s="1478"/>
    </row>
    <row r="2730" spans="11:15">
      <c r="K2730" s="1475">
        <v>44787</v>
      </c>
      <c r="L2730" s="1476"/>
      <c r="M2730" s="1477">
        <v>0</v>
      </c>
      <c r="N2730" s="1478">
        <v>1.8072307366263021</v>
      </c>
      <c r="O2730" s="1478"/>
    </row>
    <row r="2731" spans="11:15">
      <c r="K2731" s="1475">
        <v>44788</v>
      </c>
      <c r="L2731" s="1476" t="s">
        <v>2127</v>
      </c>
      <c r="M2731" s="1477">
        <v>5.0788E-2</v>
      </c>
      <c r="N2731" s="1478">
        <v>1.8081485929728198</v>
      </c>
      <c r="O2731" s="1478"/>
    </row>
    <row r="2732" spans="11:15">
      <c r="K2732" s="1475">
        <v>44789</v>
      </c>
      <c r="L2732" s="1476" t="s">
        <v>2127</v>
      </c>
      <c r="M2732" s="1477">
        <v>5.0788E-2</v>
      </c>
      <c r="N2732" s="1478">
        <v>1.8090669154802188</v>
      </c>
      <c r="O2732" s="1478"/>
    </row>
    <row r="2733" spans="11:15">
      <c r="K2733" s="1475">
        <v>44790</v>
      </c>
      <c r="L2733" s="1476" t="s">
        <v>2127</v>
      </c>
      <c r="M2733" s="1477">
        <v>5.0788E-2</v>
      </c>
      <c r="N2733" s="1478">
        <v>1.809985704385253</v>
      </c>
      <c r="O2733" s="1478"/>
    </row>
    <row r="2734" spans="11:15">
      <c r="K2734" s="1475">
        <v>44791</v>
      </c>
      <c r="L2734" s="1476" t="s">
        <v>2127</v>
      </c>
      <c r="M2734" s="1477">
        <v>5.0788E-2</v>
      </c>
      <c r="N2734" s="1478">
        <v>1.8109049599247962</v>
      </c>
      <c r="O2734" s="1478"/>
    </row>
    <row r="2735" spans="11:15">
      <c r="K2735" s="1475">
        <v>44792</v>
      </c>
      <c r="L2735" s="1476" t="s">
        <v>2127</v>
      </c>
      <c r="M2735" s="1477">
        <v>5.0788E-2</v>
      </c>
      <c r="N2735" s="1478">
        <v>1.8118246823358428</v>
      </c>
      <c r="O2735" s="1478"/>
    </row>
    <row r="2736" spans="11:15">
      <c r="K2736" s="1475">
        <v>44793</v>
      </c>
      <c r="L2736" s="1476"/>
      <c r="M2736" s="1477">
        <v>0</v>
      </c>
      <c r="N2736" s="1478">
        <v>1.8118246823358428</v>
      </c>
      <c r="O2736" s="1478"/>
    </row>
    <row r="2737" spans="11:15">
      <c r="K2737" s="1475">
        <v>44794</v>
      </c>
      <c r="L2737" s="1476"/>
      <c r="M2737" s="1477">
        <v>0</v>
      </c>
      <c r="N2737" s="1478">
        <v>1.8118246823358428</v>
      </c>
      <c r="O2737" s="1478"/>
    </row>
    <row r="2738" spans="11:15">
      <c r="K2738" s="1475">
        <v>44795</v>
      </c>
      <c r="L2738" s="1476" t="s">
        <v>2127</v>
      </c>
      <c r="M2738" s="1477">
        <v>5.0788E-2</v>
      </c>
      <c r="N2738" s="1478">
        <v>1.8127448718555075</v>
      </c>
      <c r="O2738" s="1478"/>
    </row>
    <row r="2739" spans="11:15">
      <c r="K2739" s="1475">
        <v>44796</v>
      </c>
      <c r="L2739" s="1476" t="s">
        <v>2127</v>
      </c>
      <c r="M2739" s="1477">
        <v>5.0788E-2</v>
      </c>
      <c r="N2739" s="1478">
        <v>1.8136655287210255</v>
      </c>
      <c r="O2739" s="1478"/>
    </row>
    <row r="2740" spans="11:15">
      <c r="K2740" s="1475">
        <v>44797</v>
      </c>
      <c r="L2740" s="1476" t="s">
        <v>2127</v>
      </c>
      <c r="M2740" s="1477">
        <v>5.0788E-2</v>
      </c>
      <c r="N2740" s="1478">
        <v>1.8145866531697523</v>
      </c>
      <c r="O2740" s="1478"/>
    </row>
    <row r="2741" spans="11:15">
      <c r="K2741" s="1475">
        <v>44798</v>
      </c>
      <c r="L2741" s="1476" t="s">
        <v>2127</v>
      </c>
      <c r="M2741" s="1477">
        <v>5.0788E-2</v>
      </c>
      <c r="N2741" s="1478">
        <v>1.8155082454391642</v>
      </c>
      <c r="O2741" s="1478"/>
    </row>
    <row r="2742" spans="11:15">
      <c r="K2742" s="1475">
        <v>44799</v>
      </c>
      <c r="L2742" s="1476" t="s">
        <v>2127</v>
      </c>
      <c r="M2742" s="1477">
        <v>5.0788E-2</v>
      </c>
      <c r="N2742" s="1478">
        <v>1.8164303057668578</v>
      </c>
      <c r="O2742" s="1478"/>
    </row>
    <row r="2743" spans="11:15">
      <c r="K2743" s="1475">
        <v>44800</v>
      </c>
      <c r="L2743" s="1476"/>
      <c r="M2743" s="1477">
        <v>0</v>
      </c>
      <c r="N2743" s="1478">
        <v>1.8164303057668578</v>
      </c>
      <c r="O2743" s="1478"/>
    </row>
    <row r="2744" spans="11:15">
      <c r="K2744" s="1475">
        <v>44801</v>
      </c>
      <c r="L2744" s="1476"/>
      <c r="M2744" s="1477">
        <v>0</v>
      </c>
      <c r="N2744" s="1478">
        <v>1.8164303057668578</v>
      </c>
      <c r="O2744" s="1478"/>
    </row>
    <row r="2745" spans="11:15">
      <c r="K2745" s="1475">
        <v>44802</v>
      </c>
      <c r="L2745" s="1476" t="s">
        <v>2127</v>
      </c>
      <c r="M2745" s="1477">
        <v>5.0788E-2</v>
      </c>
      <c r="N2745" s="1478">
        <v>1.8173528343905507</v>
      </c>
      <c r="O2745" s="1478"/>
    </row>
    <row r="2746" spans="11:15">
      <c r="K2746" s="1475">
        <v>44803</v>
      </c>
      <c r="L2746" s="1476" t="s">
        <v>2127</v>
      </c>
      <c r="M2746" s="1477">
        <v>5.0788E-2</v>
      </c>
      <c r="N2746" s="1478">
        <v>1.8182758315480809</v>
      </c>
      <c r="O2746" s="1478"/>
    </row>
    <row r="2747" spans="11:15">
      <c r="K2747" s="1475">
        <v>44804</v>
      </c>
      <c r="L2747" s="1476" t="s">
        <v>2127</v>
      </c>
      <c r="M2747" s="1477">
        <v>5.0788E-2</v>
      </c>
      <c r="N2747" s="1478">
        <v>1.8191992974774076</v>
      </c>
      <c r="O2747" s="1478"/>
    </row>
    <row r="2748" spans="11:15">
      <c r="K2748" s="1475">
        <v>44805</v>
      </c>
      <c r="L2748" s="1476" t="s">
        <v>2127</v>
      </c>
      <c r="M2748" s="1477">
        <v>5.0788E-2</v>
      </c>
      <c r="N2748" s="1478">
        <v>1.8201232324166106</v>
      </c>
      <c r="O2748" s="1478"/>
    </row>
    <row r="2749" spans="11:15">
      <c r="K2749" s="1475">
        <v>44806</v>
      </c>
      <c r="L2749" s="1476" t="s">
        <v>2127</v>
      </c>
      <c r="M2749" s="1477">
        <v>5.0788E-2</v>
      </c>
      <c r="N2749" s="1478">
        <v>1.8210476366038904</v>
      </c>
      <c r="O2749" s="1478"/>
    </row>
    <row r="2750" spans="11:15">
      <c r="K2750" s="1475">
        <v>44807</v>
      </c>
      <c r="L2750" s="1476"/>
      <c r="M2750" s="1477">
        <v>0</v>
      </c>
      <c r="N2750" s="1478">
        <v>1.8210476366038904</v>
      </c>
      <c r="O2750" s="1478"/>
    </row>
    <row r="2751" spans="11:15">
      <c r="K2751" s="1475">
        <v>44808</v>
      </c>
      <c r="L2751" s="1476"/>
      <c r="M2751" s="1477">
        <v>0</v>
      </c>
      <c r="N2751" s="1478">
        <v>1.8210476366038904</v>
      </c>
      <c r="O2751" s="1478"/>
    </row>
    <row r="2752" spans="11:15">
      <c r="K2752" s="1475">
        <v>44809</v>
      </c>
      <c r="L2752" s="1476" t="s">
        <v>2127</v>
      </c>
      <c r="M2752" s="1477">
        <v>5.0788E-2</v>
      </c>
      <c r="N2752" s="1478">
        <v>1.8219725102775688</v>
      </c>
      <c r="O2752" s="1478"/>
    </row>
    <row r="2753" spans="11:15">
      <c r="K2753" s="1475">
        <v>44810</v>
      </c>
      <c r="L2753" s="1476" t="s">
        <v>2127</v>
      </c>
      <c r="M2753" s="1477">
        <v>5.0788E-2</v>
      </c>
      <c r="N2753" s="1478">
        <v>1.8228978536760887</v>
      </c>
      <c r="O2753" s="1478"/>
    </row>
    <row r="2754" spans="11:15">
      <c r="K2754" s="1475">
        <v>44811</v>
      </c>
      <c r="L2754" s="1476"/>
      <c r="M2754" s="1477">
        <v>0</v>
      </c>
      <c r="N2754" s="1478">
        <v>1.8228978536760887</v>
      </c>
      <c r="O2754" s="1478"/>
    </row>
    <row r="2755" spans="11:15">
      <c r="K2755" s="1475">
        <v>44812</v>
      </c>
      <c r="L2755" s="1476" t="s">
        <v>2127</v>
      </c>
      <c r="M2755" s="1477">
        <v>5.0788E-2</v>
      </c>
      <c r="N2755" s="1478">
        <v>1.8238236670380137</v>
      </c>
      <c r="O2755" s="1478"/>
    </row>
    <row r="2756" spans="11:15">
      <c r="K2756" s="1475">
        <v>44813</v>
      </c>
      <c r="L2756" s="1476" t="s">
        <v>2127</v>
      </c>
      <c r="M2756" s="1477">
        <v>5.0788E-2</v>
      </c>
      <c r="N2756" s="1478">
        <v>1.824749950602029</v>
      </c>
      <c r="O2756" s="1478"/>
    </row>
    <row r="2757" spans="11:15">
      <c r="K2757" s="1475">
        <v>44814</v>
      </c>
      <c r="L2757" s="1476"/>
      <c r="M2757" s="1477">
        <v>0</v>
      </c>
      <c r="N2757" s="1478">
        <v>1.824749950602029</v>
      </c>
      <c r="O2757" s="1478"/>
    </row>
    <row r="2758" spans="11:15">
      <c r="K2758" s="1475">
        <v>44815</v>
      </c>
      <c r="L2758" s="1476"/>
      <c r="M2758" s="1477">
        <v>0</v>
      </c>
      <c r="N2758" s="1478">
        <v>1.824749950602029</v>
      </c>
      <c r="O2758" s="1478"/>
    </row>
    <row r="2759" spans="11:15">
      <c r="K2759" s="1475">
        <v>44816</v>
      </c>
      <c r="L2759" s="1476" t="s">
        <v>2127</v>
      </c>
      <c r="M2759" s="1477">
        <v>5.0788E-2</v>
      </c>
      <c r="N2759" s="1478">
        <v>1.8256767046069409</v>
      </c>
      <c r="O2759" s="1478"/>
    </row>
    <row r="2760" spans="11:15">
      <c r="K2760" s="1475">
        <v>44817</v>
      </c>
      <c r="L2760" s="1476" t="s">
        <v>2127</v>
      </c>
      <c r="M2760" s="1477">
        <v>5.0788E-2</v>
      </c>
      <c r="N2760" s="1478">
        <v>1.8266039292916767</v>
      </c>
      <c r="O2760" s="1478"/>
    </row>
    <row r="2761" spans="11:15">
      <c r="K2761" s="1475">
        <v>44818</v>
      </c>
      <c r="L2761" s="1476" t="s">
        <v>2127</v>
      </c>
      <c r="M2761" s="1477">
        <v>5.0788E-2</v>
      </c>
      <c r="N2761" s="1478">
        <v>1.8275316248952853</v>
      </c>
      <c r="O2761" s="1478"/>
    </row>
    <row r="2762" spans="11:15">
      <c r="K2762" s="1475">
        <v>44819</v>
      </c>
      <c r="L2762" s="1476" t="s">
        <v>2127</v>
      </c>
      <c r="M2762" s="1477">
        <v>5.0788E-2</v>
      </c>
      <c r="N2762" s="1478">
        <v>1.8284597916569372</v>
      </c>
      <c r="O2762" s="1478"/>
    </row>
    <row r="2763" spans="11:15">
      <c r="K2763" s="1475">
        <v>44820</v>
      </c>
      <c r="L2763" s="1476" t="s">
        <v>2127</v>
      </c>
      <c r="M2763" s="1477">
        <v>5.0788E-2</v>
      </c>
      <c r="N2763" s="1478">
        <v>1.829388429815924</v>
      </c>
      <c r="O2763" s="1478"/>
    </row>
    <row r="2764" spans="11:15">
      <c r="K2764" s="1475">
        <v>44821</v>
      </c>
      <c r="L2764" s="1476"/>
      <c r="M2764" s="1477">
        <v>0</v>
      </c>
      <c r="N2764" s="1478">
        <v>1.829388429815924</v>
      </c>
      <c r="O2764" s="1478"/>
    </row>
    <row r="2765" spans="11:15">
      <c r="K2765" s="1475">
        <v>44822</v>
      </c>
      <c r="L2765" s="1476"/>
      <c r="M2765" s="1477">
        <v>0</v>
      </c>
      <c r="N2765" s="1478">
        <v>1.829388429815924</v>
      </c>
      <c r="O2765" s="1478"/>
    </row>
    <row r="2766" spans="11:15">
      <c r="K2766" s="1475">
        <v>44823</v>
      </c>
      <c r="L2766" s="1476" t="s">
        <v>2127</v>
      </c>
      <c r="M2766" s="1477">
        <v>5.0788E-2</v>
      </c>
      <c r="N2766" s="1478">
        <v>1.8303175396116589</v>
      </c>
      <c r="O2766" s="1478"/>
    </row>
    <row r="2767" spans="11:15">
      <c r="K2767" s="1475">
        <v>44824</v>
      </c>
      <c r="L2767" s="1476" t="s">
        <v>2127</v>
      </c>
      <c r="M2767" s="1477">
        <v>5.0788E-2</v>
      </c>
      <c r="N2767" s="1478">
        <v>1.8312471212836769</v>
      </c>
      <c r="O2767" s="1478"/>
    </row>
    <row r="2768" spans="11:15">
      <c r="K2768" s="1475">
        <v>44825</v>
      </c>
      <c r="L2768" s="1476" t="s">
        <v>2127</v>
      </c>
      <c r="M2768" s="1477">
        <v>5.0788E-2</v>
      </c>
      <c r="N2768" s="1478">
        <v>1.8321771750716345</v>
      </c>
      <c r="O2768" s="1478"/>
    </row>
    <row r="2769" spans="11:15">
      <c r="K2769" s="1475">
        <v>44826</v>
      </c>
      <c r="L2769" s="1476" t="s">
        <v>2127</v>
      </c>
      <c r="M2769" s="1477">
        <v>5.0788E-2</v>
      </c>
      <c r="N2769" s="1478">
        <v>1.8331077012153099</v>
      </c>
      <c r="O2769" s="1478"/>
    </row>
    <row r="2770" spans="11:15">
      <c r="K2770" s="1475">
        <v>44827</v>
      </c>
      <c r="L2770" s="1476" t="s">
        <v>2127</v>
      </c>
      <c r="M2770" s="1477">
        <v>5.0788E-2</v>
      </c>
      <c r="N2770" s="1478">
        <v>1.8340386999546032</v>
      </c>
      <c r="O2770" s="1478"/>
    </row>
    <row r="2771" spans="11:15">
      <c r="K2771" s="1475">
        <v>44828</v>
      </c>
      <c r="L2771" s="1476"/>
      <c r="M2771" s="1477">
        <v>0</v>
      </c>
      <c r="N2771" s="1478">
        <v>1.8340386999546032</v>
      </c>
      <c r="O2771" s="1478"/>
    </row>
    <row r="2772" spans="11:15">
      <c r="K2772" s="1475">
        <v>44829</v>
      </c>
      <c r="L2772" s="1476"/>
      <c r="M2772" s="1477">
        <v>0</v>
      </c>
      <c r="N2772" s="1478">
        <v>1.8340386999546032</v>
      </c>
      <c r="O2772" s="1478"/>
    </row>
    <row r="2773" spans="11:15">
      <c r="K2773" s="1475">
        <v>44830</v>
      </c>
      <c r="L2773" s="1476" t="s">
        <v>2127</v>
      </c>
      <c r="M2773" s="1477">
        <v>5.0788E-2</v>
      </c>
      <c r="N2773" s="1478">
        <v>1.8349701715295361</v>
      </c>
      <c r="O2773" s="1478"/>
    </row>
    <row r="2774" spans="11:15">
      <c r="K2774" s="1475">
        <v>44831</v>
      </c>
      <c r="L2774" s="1476" t="s">
        <v>2127</v>
      </c>
      <c r="M2774" s="1477">
        <v>5.0788E-2</v>
      </c>
      <c r="N2774" s="1478">
        <v>1.8359021161802527</v>
      </c>
      <c r="O2774" s="1478"/>
    </row>
    <row r="2775" spans="11:15">
      <c r="K2775" s="1475">
        <v>44832</v>
      </c>
      <c r="L2775" s="1476" t="s">
        <v>2127</v>
      </c>
      <c r="M2775" s="1477">
        <v>5.0788E-2</v>
      </c>
      <c r="N2775" s="1478">
        <v>1.8368345341470182</v>
      </c>
      <c r="O2775" s="1478"/>
    </row>
    <row r="2776" spans="11:15">
      <c r="K2776" s="1475">
        <v>44833</v>
      </c>
      <c r="L2776" s="1476" t="s">
        <v>2127</v>
      </c>
      <c r="M2776" s="1477">
        <v>5.0788E-2</v>
      </c>
      <c r="N2776" s="1478">
        <v>1.8377674256702208</v>
      </c>
      <c r="O2776" s="1478"/>
    </row>
    <row r="2777" spans="11:15">
      <c r="K2777" s="1475">
        <v>44834</v>
      </c>
      <c r="L2777" s="1476" t="s">
        <v>2127</v>
      </c>
      <c r="M2777" s="1477">
        <v>5.0788E-2</v>
      </c>
      <c r="N2777" s="1478">
        <v>1.8387007909903701</v>
      </c>
      <c r="O2777" s="1478"/>
    </row>
    <row r="2778" spans="11:15">
      <c r="K2778" s="1475">
        <v>44835</v>
      </c>
      <c r="L2778" s="1476"/>
      <c r="M2778" s="1477">
        <v>0</v>
      </c>
      <c r="N2778" s="1478">
        <v>1.8387007909903701</v>
      </c>
      <c r="O2778" s="1478"/>
    </row>
    <row r="2779" spans="11:15">
      <c r="K2779" s="1475">
        <v>44836</v>
      </c>
      <c r="L2779" s="1476"/>
      <c r="M2779" s="1477">
        <v>0</v>
      </c>
      <c r="N2779" s="1478">
        <v>1.8387007909903701</v>
      </c>
      <c r="O2779" s="1478"/>
    </row>
    <row r="2780" spans="11:15">
      <c r="K2780" s="1475">
        <v>44837</v>
      </c>
      <c r="L2780" s="1476" t="s">
        <v>2127</v>
      </c>
      <c r="M2780" s="1477">
        <v>5.0788E-2</v>
      </c>
      <c r="N2780" s="1478">
        <v>1.8396346303480984</v>
      </c>
      <c r="O2780" s="1478"/>
    </row>
    <row r="2781" spans="11:15">
      <c r="K2781" s="1475">
        <v>44838</v>
      </c>
      <c r="L2781" s="1476" t="s">
        <v>2127</v>
      </c>
      <c r="M2781" s="1477">
        <v>5.0788E-2</v>
      </c>
      <c r="N2781" s="1478">
        <v>1.8405689439841595</v>
      </c>
      <c r="O2781" s="1478"/>
    </row>
    <row r="2782" spans="11:15">
      <c r="K2782" s="1475">
        <v>44839</v>
      </c>
      <c r="L2782" s="1476" t="s">
        <v>2127</v>
      </c>
      <c r="M2782" s="1477">
        <v>5.0788E-2</v>
      </c>
      <c r="N2782" s="1478">
        <v>1.8415037321394301</v>
      </c>
      <c r="O2782" s="1478"/>
    </row>
    <row r="2783" spans="11:15">
      <c r="K2783" s="1475">
        <v>44840</v>
      </c>
      <c r="L2783" s="1476" t="s">
        <v>2127</v>
      </c>
      <c r="M2783" s="1477">
        <v>5.0788E-2</v>
      </c>
      <c r="N2783" s="1478">
        <v>1.8424389950549092</v>
      </c>
      <c r="O2783" s="1478"/>
    </row>
    <row r="2784" spans="11:15">
      <c r="K2784" s="1475">
        <v>44841</v>
      </c>
      <c r="L2784" s="1476" t="s">
        <v>2127</v>
      </c>
      <c r="M2784" s="1477">
        <v>5.0788E-2</v>
      </c>
      <c r="N2784" s="1478">
        <v>1.8433747329717176</v>
      </c>
      <c r="O2784" s="1478"/>
    </row>
    <row r="2785" spans="11:15">
      <c r="K2785" s="1475">
        <v>44842</v>
      </c>
      <c r="L2785" s="1476"/>
      <c r="M2785" s="1477">
        <v>0</v>
      </c>
      <c r="N2785" s="1478">
        <v>1.8433747329717176</v>
      </c>
      <c r="O2785" s="1478"/>
    </row>
    <row r="2786" spans="11:15">
      <c r="K2786" s="1475">
        <v>44843</v>
      </c>
      <c r="L2786" s="1476"/>
      <c r="M2786" s="1477">
        <v>0</v>
      </c>
      <c r="N2786" s="1478">
        <v>1.8433747329717176</v>
      </c>
      <c r="O2786" s="1478"/>
    </row>
    <row r="2787" spans="11:15">
      <c r="K2787" s="1475">
        <v>44844</v>
      </c>
      <c r="L2787" s="1476" t="s">
        <v>2127</v>
      </c>
      <c r="M2787" s="1477">
        <v>5.0788E-2</v>
      </c>
      <c r="N2787" s="1478">
        <v>1.8443109461310994</v>
      </c>
      <c r="O2787" s="1478"/>
    </row>
    <row r="2788" spans="11:15">
      <c r="K2788" s="1475">
        <v>44845</v>
      </c>
      <c r="L2788" s="1476" t="s">
        <v>2127</v>
      </c>
      <c r="M2788" s="1477">
        <v>5.0788E-2</v>
      </c>
      <c r="N2788" s="1478">
        <v>1.8452476347744204</v>
      </c>
      <c r="O2788" s="1478"/>
    </row>
    <row r="2789" spans="11:15">
      <c r="K2789" s="1475">
        <v>44846</v>
      </c>
      <c r="L2789" s="1476"/>
      <c r="M2789" s="1477">
        <v>0</v>
      </c>
      <c r="N2789" s="1478">
        <v>1.8452476347744204</v>
      </c>
      <c r="O2789" s="1478"/>
    </row>
    <row r="2790" spans="11:15">
      <c r="K2790" s="1475">
        <v>44847</v>
      </c>
      <c r="L2790" s="1476" t="s">
        <v>2127</v>
      </c>
      <c r="M2790" s="1477">
        <v>5.0788E-2</v>
      </c>
      <c r="N2790" s="1478">
        <v>1.8461847991431697</v>
      </c>
      <c r="O2790" s="1478"/>
    </row>
    <row r="2791" spans="11:15">
      <c r="K2791" s="1475">
        <v>44848</v>
      </c>
      <c r="L2791" s="1476" t="s">
        <v>2127</v>
      </c>
      <c r="M2791" s="1477">
        <v>5.0788E-2</v>
      </c>
      <c r="N2791" s="1478">
        <v>1.8471224394789585</v>
      </c>
      <c r="O2791" s="1478"/>
    </row>
    <row r="2792" spans="11:15">
      <c r="K2792" s="1475">
        <v>44849</v>
      </c>
      <c r="L2792" s="1476"/>
      <c r="M2792" s="1477">
        <v>0</v>
      </c>
      <c r="N2792" s="1478">
        <v>1.8471224394789585</v>
      </c>
      <c r="O2792" s="1478"/>
    </row>
    <row r="2793" spans="11:15">
      <c r="K2793" s="1475">
        <v>44850</v>
      </c>
      <c r="L2793" s="1476"/>
      <c r="M2793" s="1477">
        <v>0</v>
      </c>
      <c r="N2793" s="1478">
        <v>1.8471224394789585</v>
      </c>
      <c r="O2793" s="1478"/>
    </row>
    <row r="2794" spans="11:15">
      <c r="K2794" s="1475">
        <v>44851</v>
      </c>
      <c r="L2794" s="1476" t="s">
        <v>2127</v>
      </c>
      <c r="M2794" s="1477">
        <v>5.0788E-2</v>
      </c>
      <c r="N2794" s="1478">
        <v>1.848060556023521</v>
      </c>
      <c r="O2794" s="1478"/>
    </row>
    <row r="2795" spans="11:15">
      <c r="K2795" s="1475">
        <v>44852</v>
      </c>
      <c r="L2795" s="1476" t="s">
        <v>2127</v>
      </c>
      <c r="M2795" s="1477">
        <v>5.0788E-2</v>
      </c>
      <c r="N2795" s="1478">
        <v>1.8489991490187143</v>
      </c>
      <c r="O2795" s="1478"/>
    </row>
    <row r="2796" spans="11:15">
      <c r="K2796" s="1475">
        <v>44853</v>
      </c>
      <c r="L2796" s="1476" t="s">
        <v>2127</v>
      </c>
      <c r="M2796" s="1477">
        <v>5.0788E-2</v>
      </c>
      <c r="N2796" s="1478">
        <v>1.8499382187065179</v>
      </c>
      <c r="O2796" s="1478"/>
    </row>
    <row r="2797" spans="11:15">
      <c r="K2797" s="1475">
        <v>44854</v>
      </c>
      <c r="L2797" s="1476" t="s">
        <v>2127</v>
      </c>
      <c r="M2797" s="1477">
        <v>5.0788E-2</v>
      </c>
      <c r="N2797" s="1478">
        <v>1.8508777653290345</v>
      </c>
      <c r="O2797" s="1478"/>
    </row>
    <row r="2798" spans="11:15">
      <c r="K2798" s="1475">
        <v>44855</v>
      </c>
      <c r="L2798" s="1476" t="s">
        <v>2127</v>
      </c>
      <c r="M2798" s="1477">
        <v>5.0788E-2</v>
      </c>
      <c r="N2798" s="1478">
        <v>1.8518177891284897</v>
      </c>
      <c r="O2798" s="1478"/>
    </row>
    <row r="2799" spans="11:15">
      <c r="K2799" s="1475">
        <v>44856</v>
      </c>
      <c r="L2799" s="1476"/>
      <c r="M2799" s="1477">
        <v>0</v>
      </c>
      <c r="N2799" s="1478">
        <v>1.8518177891284897</v>
      </c>
      <c r="O2799" s="1478"/>
    </row>
    <row r="2800" spans="11:15">
      <c r="K2800" s="1475">
        <v>44857</v>
      </c>
      <c r="L2800" s="1476"/>
      <c r="M2800" s="1477">
        <v>0</v>
      </c>
      <c r="N2800" s="1478">
        <v>1.8518177891284897</v>
      </c>
      <c r="O2800" s="1478"/>
    </row>
    <row r="2801" spans="11:15">
      <c r="K2801" s="1475">
        <v>44858</v>
      </c>
      <c r="L2801" s="1476" t="s">
        <v>2127</v>
      </c>
      <c r="M2801" s="1477">
        <v>5.0788E-2</v>
      </c>
      <c r="N2801" s="1478">
        <v>1.8527582903472324</v>
      </c>
      <c r="O2801" s="1478"/>
    </row>
    <row r="2802" spans="11:15">
      <c r="K2802" s="1475">
        <v>44859</v>
      </c>
      <c r="L2802" s="1476" t="s">
        <v>2127</v>
      </c>
      <c r="M2802" s="1477">
        <v>5.0788E-2</v>
      </c>
      <c r="N2802" s="1478">
        <v>1.8536992692277339</v>
      </c>
      <c r="O2802" s="1478"/>
    </row>
    <row r="2803" spans="11:15">
      <c r="K2803" s="1475">
        <v>44860</v>
      </c>
      <c r="L2803" s="1476" t="s">
        <v>2127</v>
      </c>
      <c r="M2803" s="1477">
        <v>5.0788E-2</v>
      </c>
      <c r="N2803" s="1478">
        <v>1.8546407260125892</v>
      </c>
      <c r="O2803" s="1478"/>
    </row>
    <row r="2804" spans="11:15">
      <c r="K2804" s="1475">
        <v>44861</v>
      </c>
      <c r="L2804" s="1476" t="s">
        <v>2127</v>
      </c>
      <c r="M2804" s="1477">
        <v>5.0788E-2</v>
      </c>
      <c r="N2804" s="1478">
        <v>1.8555826609445165</v>
      </c>
      <c r="O2804" s="1478"/>
    </row>
    <row r="2805" spans="11:15">
      <c r="K2805" s="1475">
        <v>44862</v>
      </c>
      <c r="L2805" s="1476" t="s">
        <v>2127</v>
      </c>
      <c r="M2805" s="1477">
        <v>5.0788E-2</v>
      </c>
      <c r="N2805" s="1478">
        <v>1.856525074266357</v>
      </c>
      <c r="O2805" s="1478"/>
    </row>
    <row r="2806" spans="11:15">
      <c r="K2806" s="1475">
        <v>44863</v>
      </c>
      <c r="L2806" s="1476"/>
      <c r="M2806" s="1477">
        <v>0</v>
      </c>
      <c r="N2806" s="1478">
        <v>1.856525074266357</v>
      </c>
      <c r="O2806" s="1478"/>
    </row>
    <row r="2807" spans="11:15">
      <c r="K2807" s="1475">
        <v>44864</v>
      </c>
      <c r="L2807" s="1476"/>
      <c r="M2807" s="1477">
        <v>0</v>
      </c>
      <c r="N2807" s="1478">
        <v>1.856525074266357</v>
      </c>
      <c r="O2807" s="1478"/>
    </row>
    <row r="2808" spans="11:15">
      <c r="K2808" s="1475">
        <v>44865</v>
      </c>
      <c r="L2808" s="1476" t="s">
        <v>2127</v>
      </c>
      <c r="M2808" s="1477">
        <v>5.0788E-2</v>
      </c>
      <c r="N2808" s="1478">
        <v>1.8574679662210756</v>
      </c>
      <c r="O2808" s="1478"/>
    </row>
    <row r="2809" spans="11:15">
      <c r="K2809" s="1475">
        <v>44866</v>
      </c>
      <c r="L2809" s="1476" t="s">
        <v>2127</v>
      </c>
      <c r="M2809" s="1477">
        <v>5.0788E-2</v>
      </c>
      <c r="N2809" s="1478">
        <v>1.8584113370517599</v>
      </c>
      <c r="O2809" s="1478"/>
    </row>
    <row r="2810" spans="11:15">
      <c r="K2810" s="1475">
        <v>44867</v>
      </c>
      <c r="L2810" s="1476"/>
      <c r="M2810" s="1477">
        <v>0</v>
      </c>
      <c r="N2810" s="1478">
        <v>1.8584113370517599</v>
      </c>
      <c r="O2810" s="1478"/>
    </row>
    <row r="2811" spans="11:15">
      <c r="K2811" s="1475">
        <v>44868</v>
      </c>
      <c r="L2811" s="1476" t="s">
        <v>2127</v>
      </c>
      <c r="M2811" s="1477">
        <v>5.0788E-2</v>
      </c>
      <c r="N2811" s="1478">
        <v>1.8593551870016218</v>
      </c>
      <c r="O2811" s="1478"/>
    </row>
    <row r="2812" spans="11:15">
      <c r="K2812" s="1475">
        <v>44869</v>
      </c>
      <c r="L2812" s="1476" t="s">
        <v>2127</v>
      </c>
      <c r="M2812" s="1477">
        <v>5.0788E-2</v>
      </c>
      <c r="N2812" s="1478">
        <v>1.8602995163139961</v>
      </c>
      <c r="O2812" s="1478"/>
    </row>
    <row r="2813" spans="11:15">
      <c r="K2813" s="1475">
        <v>44870</v>
      </c>
      <c r="L2813" s="1476"/>
      <c r="M2813" s="1477">
        <v>0</v>
      </c>
      <c r="N2813" s="1478">
        <v>1.8602995163139961</v>
      </c>
      <c r="O2813" s="1478"/>
    </row>
    <row r="2814" spans="11:15">
      <c r="K2814" s="1475">
        <v>44871</v>
      </c>
      <c r="L2814" s="1476"/>
      <c r="M2814" s="1477">
        <v>0</v>
      </c>
      <c r="N2814" s="1478">
        <v>1.8602995163139961</v>
      </c>
      <c r="O2814" s="1478"/>
    </row>
    <row r="2815" spans="11:15">
      <c r="K2815" s="1475">
        <v>44872</v>
      </c>
      <c r="L2815" s="1476" t="s">
        <v>2127</v>
      </c>
      <c r="M2815" s="1477">
        <v>5.0788E-2</v>
      </c>
      <c r="N2815" s="1478">
        <v>1.8612443252323416</v>
      </c>
      <c r="O2815" s="1478"/>
    </row>
    <row r="2816" spans="11:15">
      <c r="K2816" s="1475">
        <v>44873</v>
      </c>
      <c r="L2816" s="1476" t="s">
        <v>2127</v>
      </c>
      <c r="M2816" s="1477">
        <v>5.0788E-2</v>
      </c>
      <c r="N2816" s="1478">
        <v>1.8621896140002407</v>
      </c>
      <c r="O2816" s="1478"/>
    </row>
    <row r="2817" spans="11:15">
      <c r="K2817" s="1475">
        <v>44874</v>
      </c>
      <c r="L2817" s="1476" t="s">
        <v>2127</v>
      </c>
      <c r="M2817" s="1477">
        <v>5.0788E-2</v>
      </c>
      <c r="N2817" s="1478">
        <v>1.8631353828613992</v>
      </c>
      <c r="O2817" s="1478"/>
    </row>
    <row r="2818" spans="11:15">
      <c r="K2818" s="1475">
        <v>44875</v>
      </c>
      <c r="L2818" s="1476" t="s">
        <v>2127</v>
      </c>
      <c r="M2818" s="1477">
        <v>5.0788E-2</v>
      </c>
      <c r="N2818" s="1478">
        <v>1.8640816320596469</v>
      </c>
      <c r="O2818" s="1478"/>
    </row>
    <row r="2819" spans="11:15">
      <c r="K2819" s="1475">
        <v>44876</v>
      </c>
      <c r="L2819" s="1476" t="s">
        <v>2127</v>
      </c>
      <c r="M2819" s="1477">
        <v>5.0788E-2</v>
      </c>
      <c r="N2819" s="1478">
        <v>1.8650283618389374</v>
      </c>
      <c r="O2819" s="1478"/>
    </row>
    <row r="2820" spans="11:15">
      <c r="K2820" s="1475">
        <v>44877</v>
      </c>
      <c r="L2820" s="1476"/>
      <c r="M2820" s="1477">
        <v>0</v>
      </c>
      <c r="N2820" s="1478">
        <v>1.8650283618389374</v>
      </c>
      <c r="O2820" s="1478"/>
    </row>
    <row r="2821" spans="11:15">
      <c r="K2821" s="1475">
        <v>44878</v>
      </c>
      <c r="L2821" s="1476"/>
      <c r="M2821" s="1477">
        <v>0</v>
      </c>
      <c r="N2821" s="1478">
        <v>1.8650283618389374</v>
      </c>
      <c r="O2821" s="1478"/>
    </row>
    <row r="2822" spans="11:15">
      <c r="K2822" s="1475">
        <v>44879</v>
      </c>
      <c r="L2822" s="1476" t="s">
        <v>2127</v>
      </c>
      <c r="M2822" s="1477">
        <v>5.0788E-2</v>
      </c>
      <c r="N2822" s="1478">
        <v>1.8659755724433482</v>
      </c>
      <c r="O2822" s="1478"/>
    </row>
    <row r="2823" spans="11:15">
      <c r="K2823" s="1475">
        <v>44880</v>
      </c>
      <c r="L2823" s="1476"/>
      <c r="M2823" s="1477">
        <v>0</v>
      </c>
      <c r="N2823" s="1478">
        <v>1.8659755724433482</v>
      </c>
      <c r="O2823" s="1478"/>
    </row>
    <row r="2824" spans="11:15">
      <c r="K2824" s="1475">
        <v>44881</v>
      </c>
      <c r="L2824" s="1476" t="s">
        <v>2127</v>
      </c>
      <c r="M2824" s="1477">
        <v>5.0788E-2</v>
      </c>
      <c r="N2824" s="1478">
        <v>1.8669232641170808</v>
      </c>
      <c r="O2824" s="1478"/>
    </row>
    <row r="2825" spans="11:15">
      <c r="K2825" s="1475">
        <v>44882</v>
      </c>
      <c r="L2825" s="1476" t="s">
        <v>2127</v>
      </c>
      <c r="M2825" s="1477">
        <v>5.0788E-2</v>
      </c>
      <c r="N2825" s="1478">
        <v>1.8678714371044605</v>
      </c>
      <c r="O2825" s="1478"/>
    </row>
    <row r="2826" spans="11:15">
      <c r="K2826" s="1475">
        <v>44883</v>
      </c>
      <c r="L2826" s="1476" t="s">
        <v>2127</v>
      </c>
      <c r="M2826" s="1477">
        <v>5.0788E-2</v>
      </c>
      <c r="N2826" s="1478">
        <v>1.8688200916499371</v>
      </c>
      <c r="O2826" s="1478"/>
    </row>
    <row r="2827" spans="11:15">
      <c r="K2827" s="1475">
        <v>44884</v>
      </c>
      <c r="L2827" s="1476"/>
      <c r="M2827" s="1477">
        <v>0</v>
      </c>
      <c r="N2827" s="1478">
        <v>1.8688200916499371</v>
      </c>
      <c r="O2827" s="1478"/>
    </row>
    <row r="2828" spans="11:15">
      <c r="K2828" s="1475">
        <v>44885</v>
      </c>
      <c r="L2828" s="1476"/>
      <c r="M2828" s="1477">
        <v>0</v>
      </c>
      <c r="N2828" s="1478">
        <v>1.8688200916499371</v>
      </c>
      <c r="O2828" s="1478"/>
    </row>
    <row r="2829" spans="11:15">
      <c r="K2829" s="1475">
        <v>44886</v>
      </c>
      <c r="L2829" s="1476" t="s">
        <v>2127</v>
      </c>
      <c r="M2829" s="1477">
        <v>5.0788E-2</v>
      </c>
      <c r="N2829" s="1478">
        <v>1.8697692279980844</v>
      </c>
      <c r="O2829" s="1478"/>
    </row>
    <row r="2830" spans="11:15">
      <c r="K2830" s="1475">
        <v>44887</v>
      </c>
      <c r="L2830" s="1476" t="s">
        <v>2127</v>
      </c>
      <c r="M2830" s="1477">
        <v>5.0788E-2</v>
      </c>
      <c r="N2830" s="1478">
        <v>1.8707188463936002</v>
      </c>
      <c r="O2830" s="1478"/>
    </row>
    <row r="2831" spans="11:15">
      <c r="K2831" s="1475">
        <v>44888</v>
      </c>
      <c r="L2831" s="1476" t="s">
        <v>2127</v>
      </c>
      <c r="M2831" s="1477">
        <v>5.0788E-2</v>
      </c>
      <c r="N2831" s="1478">
        <v>1.8716689470813066</v>
      </c>
      <c r="O2831" s="1478"/>
    </row>
    <row r="2832" spans="11:15">
      <c r="K2832" s="1475">
        <v>44889</v>
      </c>
      <c r="L2832" s="1476" t="s">
        <v>2127</v>
      </c>
      <c r="M2832" s="1477">
        <v>5.0788E-2</v>
      </c>
      <c r="N2832" s="1478">
        <v>1.8726195303061504</v>
      </c>
      <c r="O2832" s="1478"/>
    </row>
    <row r="2833" spans="11:15">
      <c r="K2833" s="1475">
        <v>44890</v>
      </c>
      <c r="L2833" s="1476" t="s">
        <v>2127</v>
      </c>
      <c r="M2833" s="1477">
        <v>5.0788E-2</v>
      </c>
      <c r="N2833" s="1478">
        <v>1.8735705963132023</v>
      </c>
      <c r="O2833" s="1478"/>
    </row>
    <row r="2834" spans="11:15">
      <c r="K2834" s="1475">
        <v>44891</v>
      </c>
      <c r="L2834" s="1476"/>
      <c r="M2834" s="1477">
        <v>0</v>
      </c>
      <c r="N2834" s="1478">
        <v>1.8735705963132023</v>
      </c>
      <c r="O2834" s="1478"/>
    </row>
    <row r="2835" spans="11:15">
      <c r="K2835" s="1475">
        <v>44892</v>
      </c>
      <c r="L2835" s="1476"/>
      <c r="M2835" s="1477">
        <v>0</v>
      </c>
      <c r="N2835" s="1478">
        <v>1.8735705963132023</v>
      </c>
      <c r="O2835" s="1478"/>
    </row>
    <row r="2836" spans="11:15">
      <c r="K2836" s="1475">
        <v>44893</v>
      </c>
      <c r="L2836" s="1476" t="s">
        <v>2127</v>
      </c>
      <c r="M2836" s="1477">
        <v>5.0788E-2</v>
      </c>
      <c r="N2836" s="1478">
        <v>1.8745221453476579</v>
      </c>
      <c r="O2836" s="1478"/>
    </row>
    <row r="2837" spans="11:15">
      <c r="K2837" s="1475">
        <v>44894</v>
      </c>
      <c r="L2837" s="1476" t="s">
        <v>2127</v>
      </c>
      <c r="M2837" s="1477">
        <v>5.0788E-2</v>
      </c>
      <c r="N2837" s="1478">
        <v>1.8754741776548371</v>
      </c>
      <c r="O2837" s="1478"/>
    </row>
    <row r="2838" spans="11:15">
      <c r="K2838" s="1475">
        <v>44895</v>
      </c>
      <c r="L2838" s="1476" t="s">
        <v>2127</v>
      </c>
      <c r="M2838" s="1477">
        <v>5.0788E-2</v>
      </c>
      <c r="N2838" s="1478">
        <v>1.8764266934801845</v>
      </c>
      <c r="O2838" s="1478"/>
    </row>
    <row r="2839" spans="11:15">
      <c r="K2839" s="1475">
        <v>44896</v>
      </c>
      <c r="L2839" s="1476" t="s">
        <v>2127</v>
      </c>
      <c r="M2839" s="1477">
        <v>5.0788E-2</v>
      </c>
      <c r="N2839" s="1478">
        <v>1.8773796930692692</v>
      </c>
      <c r="O2839" s="1478"/>
    </row>
    <row r="2840" spans="11:15">
      <c r="K2840" s="1475">
        <v>44897</v>
      </c>
      <c r="L2840" s="1476" t="s">
        <v>2127</v>
      </c>
      <c r="M2840" s="1477">
        <v>5.0788E-2</v>
      </c>
      <c r="N2840" s="1478">
        <v>1.8783331766677853</v>
      </c>
      <c r="O2840" s="1478"/>
    </row>
    <row r="2841" spans="11:15">
      <c r="K2841" s="1475">
        <v>44898</v>
      </c>
      <c r="L2841" s="1476"/>
      <c r="M2841" s="1477">
        <v>0</v>
      </c>
      <c r="N2841" s="1478">
        <v>1.8783331766677853</v>
      </c>
      <c r="O2841" s="1478"/>
    </row>
    <row r="2842" spans="11:15">
      <c r="K2842" s="1475">
        <v>44899</v>
      </c>
      <c r="L2842" s="1476"/>
      <c r="M2842" s="1477">
        <v>0</v>
      </c>
      <c r="N2842" s="1478">
        <v>1.8783331766677853</v>
      </c>
      <c r="O2842" s="1478"/>
    </row>
    <row r="2843" spans="11:15">
      <c r="K2843" s="1475">
        <v>44900</v>
      </c>
      <c r="L2843" s="1476" t="s">
        <v>2127</v>
      </c>
      <c r="M2843" s="1477">
        <v>5.0788E-2</v>
      </c>
      <c r="N2843" s="1478">
        <v>1.8792871445215513</v>
      </c>
      <c r="O2843" s="1478"/>
    </row>
    <row r="2844" spans="11:15">
      <c r="K2844" s="1475">
        <v>44901</v>
      </c>
      <c r="L2844" s="1476" t="s">
        <v>2127</v>
      </c>
      <c r="M2844" s="1477">
        <v>5.0788E-2</v>
      </c>
      <c r="N2844" s="1478">
        <v>1.8802415968765109</v>
      </c>
      <c r="O2844" s="1478"/>
    </row>
    <row r="2845" spans="11:15">
      <c r="K2845" s="1475">
        <v>44902</v>
      </c>
      <c r="L2845" s="1476" t="s">
        <v>2127</v>
      </c>
      <c r="M2845" s="1477">
        <v>5.0788E-2</v>
      </c>
      <c r="N2845" s="1478">
        <v>1.8811965339787327</v>
      </c>
      <c r="O2845" s="1478"/>
    </row>
    <row r="2846" spans="11:15">
      <c r="K2846" s="1475">
        <v>44903</v>
      </c>
      <c r="L2846" s="1476" t="s">
        <v>2127</v>
      </c>
      <c r="M2846" s="1477">
        <v>5.0788E-2</v>
      </c>
      <c r="N2846" s="1478">
        <v>1.8821519560744098</v>
      </c>
      <c r="O2846" s="1478"/>
    </row>
    <row r="2847" spans="11:15">
      <c r="K2847" s="1475">
        <v>44904</v>
      </c>
      <c r="L2847" s="1476" t="s">
        <v>2127</v>
      </c>
      <c r="M2847" s="1477">
        <v>5.0788E-2</v>
      </c>
      <c r="N2847" s="1478">
        <v>1.8831078634098608</v>
      </c>
      <c r="O2847" s="1478"/>
    </row>
    <row r="2848" spans="11:15">
      <c r="K2848" s="1475">
        <v>44905</v>
      </c>
      <c r="L2848" s="1476"/>
      <c r="M2848" s="1477">
        <v>0</v>
      </c>
      <c r="N2848" s="1478">
        <v>1.8831078634098608</v>
      </c>
      <c r="O2848" s="1478"/>
    </row>
    <row r="2849" spans="11:15">
      <c r="K2849" s="1475">
        <v>44906</v>
      </c>
      <c r="L2849" s="1476"/>
      <c r="M2849" s="1477">
        <v>0</v>
      </c>
      <c r="N2849" s="1478">
        <v>1.8831078634098608</v>
      </c>
      <c r="O2849" s="1478"/>
    </row>
    <row r="2850" spans="11:15">
      <c r="K2850" s="1475">
        <v>44907</v>
      </c>
      <c r="L2850" s="1476" t="s">
        <v>2127</v>
      </c>
      <c r="M2850" s="1477">
        <v>5.0788E-2</v>
      </c>
      <c r="N2850" s="1478">
        <v>1.8840642562315295</v>
      </c>
      <c r="O2850" s="1478"/>
    </row>
    <row r="2851" spans="11:15">
      <c r="K2851" s="1475">
        <v>44908</v>
      </c>
      <c r="L2851" s="1476" t="s">
        <v>2127</v>
      </c>
      <c r="M2851" s="1477">
        <v>5.0788E-2</v>
      </c>
      <c r="N2851" s="1478">
        <v>1.8850211347859844</v>
      </c>
      <c r="O2851" s="1478"/>
    </row>
    <row r="2852" spans="11:15">
      <c r="K2852" s="1475">
        <v>44909</v>
      </c>
      <c r="L2852" s="1476" t="s">
        <v>2127</v>
      </c>
      <c r="M2852" s="1477">
        <v>5.0788E-2</v>
      </c>
      <c r="N2852" s="1478">
        <v>1.8859784993199196</v>
      </c>
      <c r="O2852" s="1478"/>
    </row>
    <row r="2853" spans="11:15">
      <c r="K2853" s="1475">
        <v>44910</v>
      </c>
      <c r="L2853" s="1476" t="s">
        <v>2127</v>
      </c>
      <c r="M2853" s="1477">
        <v>5.0788E-2</v>
      </c>
      <c r="N2853" s="1478">
        <v>1.8869363500801541</v>
      </c>
      <c r="O2853" s="1478"/>
    </row>
    <row r="2854" spans="11:15">
      <c r="K2854" s="1475">
        <v>44911</v>
      </c>
      <c r="L2854" s="1476" t="s">
        <v>2127</v>
      </c>
      <c r="M2854" s="1477">
        <v>5.0788E-2</v>
      </c>
      <c r="N2854" s="1478">
        <v>1.8878946873136329</v>
      </c>
      <c r="O2854" s="1478"/>
    </row>
    <row r="2855" spans="11:15">
      <c r="K2855" s="1475">
        <v>44912</v>
      </c>
      <c r="L2855" s="1476"/>
      <c r="M2855" s="1477">
        <v>0</v>
      </c>
      <c r="N2855" s="1478">
        <v>1.8878946873136329</v>
      </c>
      <c r="O2855" s="1478"/>
    </row>
    <row r="2856" spans="11:15">
      <c r="K2856" s="1475">
        <v>44913</v>
      </c>
      <c r="L2856" s="1476"/>
      <c r="M2856" s="1477">
        <v>0</v>
      </c>
      <c r="N2856" s="1478">
        <v>1.8878946873136329</v>
      </c>
      <c r="O2856" s="1478"/>
    </row>
    <row r="2857" spans="11:15">
      <c r="K2857" s="1475">
        <v>44914</v>
      </c>
      <c r="L2857" s="1476" t="s">
        <v>2127</v>
      </c>
      <c r="M2857" s="1477">
        <v>5.0788E-2</v>
      </c>
      <c r="N2857" s="1478">
        <v>1.8888535112674258</v>
      </c>
      <c r="O2857" s="1478"/>
    </row>
    <row r="2858" spans="11:15">
      <c r="K2858" s="1475">
        <v>44915</v>
      </c>
      <c r="L2858" s="1476" t="s">
        <v>2127</v>
      </c>
      <c r="M2858" s="1477">
        <v>5.0788E-2</v>
      </c>
      <c r="N2858" s="1478">
        <v>1.8898128221887285</v>
      </c>
      <c r="O2858" s="1478"/>
    </row>
    <row r="2859" spans="11:15">
      <c r="K2859" s="1475">
        <v>44916</v>
      </c>
      <c r="L2859" s="1476" t="s">
        <v>2127</v>
      </c>
      <c r="M2859" s="1477">
        <v>5.0788E-2</v>
      </c>
      <c r="N2859" s="1478">
        <v>1.8907726203248618</v>
      </c>
      <c r="O2859" s="1478"/>
    </row>
    <row r="2860" spans="11:15">
      <c r="K2860" s="1475">
        <v>44917</v>
      </c>
      <c r="L2860" s="1476" t="s">
        <v>2127</v>
      </c>
      <c r="M2860" s="1477">
        <v>5.0788E-2</v>
      </c>
      <c r="N2860" s="1478">
        <v>1.8917329059232724</v>
      </c>
      <c r="O2860" s="1478"/>
    </row>
    <row r="2861" spans="11:15">
      <c r="K2861" s="1475">
        <v>44918</v>
      </c>
      <c r="L2861" s="1476" t="s">
        <v>2127</v>
      </c>
      <c r="M2861" s="1477">
        <v>5.0788E-2</v>
      </c>
      <c r="N2861" s="1478">
        <v>1.8926936792315328</v>
      </c>
      <c r="O2861" s="1478"/>
    </row>
    <row r="2862" spans="11:15">
      <c r="K2862" s="1475">
        <v>44919</v>
      </c>
      <c r="L2862" s="1476"/>
      <c r="M2862" s="1477">
        <v>0</v>
      </c>
      <c r="N2862" s="1478">
        <v>1.8926936792315328</v>
      </c>
      <c r="O2862" s="1478"/>
    </row>
    <row r="2863" spans="11:15">
      <c r="K2863" s="1475">
        <v>44920</v>
      </c>
      <c r="L2863" s="1476"/>
      <c r="M2863" s="1477">
        <v>0</v>
      </c>
      <c r="N2863" s="1478">
        <v>1.8926936792315328</v>
      </c>
      <c r="O2863" s="1478"/>
    </row>
    <row r="2864" spans="11:15">
      <c r="K2864" s="1475">
        <v>44921</v>
      </c>
      <c r="L2864" s="1476" t="s">
        <v>2127</v>
      </c>
      <c r="M2864" s="1477">
        <v>5.0788E-2</v>
      </c>
      <c r="N2864" s="1478">
        <v>1.8936549404973408</v>
      </c>
      <c r="O2864" s="1478"/>
    </row>
    <row r="2865" spans="11:15">
      <c r="K2865" s="1475">
        <v>44922</v>
      </c>
      <c r="L2865" s="1476" t="s">
        <v>2127</v>
      </c>
      <c r="M2865" s="1477">
        <v>5.0788E-2</v>
      </c>
      <c r="N2865" s="1478">
        <v>1.8946166899685206</v>
      </c>
      <c r="O2865" s="1478"/>
    </row>
    <row r="2866" spans="11:15">
      <c r="K2866" s="1475">
        <v>44923</v>
      </c>
      <c r="L2866" s="1476" t="s">
        <v>2127</v>
      </c>
      <c r="M2866" s="1477">
        <v>5.0788E-2</v>
      </c>
      <c r="N2866" s="1478">
        <v>1.895578927893022</v>
      </c>
      <c r="O2866" s="1478"/>
    </row>
    <row r="2867" spans="11:15">
      <c r="K2867" s="1475">
        <v>44924</v>
      </c>
      <c r="L2867" s="1476" t="s">
        <v>2127</v>
      </c>
      <c r="M2867" s="1477">
        <v>5.0788E-2</v>
      </c>
      <c r="N2867" s="1478">
        <v>1.8965416545189202</v>
      </c>
      <c r="O2867" s="1478"/>
    </row>
    <row r="2868" spans="11:15">
      <c r="K2868" s="1475">
        <v>44925</v>
      </c>
      <c r="L2868" s="1476" t="s">
        <v>2127</v>
      </c>
      <c r="M2868" s="1477">
        <v>5.0788E-2</v>
      </c>
      <c r="N2868" s="1478">
        <v>1.8975048700944173</v>
      </c>
      <c r="O2868" s="1478"/>
    </row>
    <row r="2869" spans="11:15">
      <c r="K2869" s="1475">
        <v>44926</v>
      </c>
      <c r="L2869" s="1476"/>
      <c r="M2869" s="1477">
        <v>0</v>
      </c>
      <c r="N2869" s="1478">
        <v>1.8975048700944173</v>
      </c>
      <c r="O2869" s="1478"/>
    </row>
    <row r="2870" spans="11:15">
      <c r="K2870" s="1475">
        <v>44927</v>
      </c>
      <c r="L2870" s="1476"/>
      <c r="M2870" s="1477">
        <v>0</v>
      </c>
      <c r="N2870" s="1478">
        <v>1.8975048700944173</v>
      </c>
      <c r="O2870" s="1478"/>
    </row>
    <row r="2871" spans="11:15">
      <c r="K2871" s="1475">
        <v>44928</v>
      </c>
      <c r="L2871" s="1476" t="s">
        <v>2127</v>
      </c>
      <c r="M2871" s="1477">
        <v>5.0788E-2</v>
      </c>
      <c r="N2871" s="1478">
        <v>1.8984685748678409</v>
      </c>
      <c r="O2871" s="1478"/>
    </row>
    <row r="2872" spans="11:15">
      <c r="K2872" s="1475">
        <v>44929</v>
      </c>
      <c r="L2872" s="1476" t="s">
        <v>2127</v>
      </c>
      <c r="M2872" s="1477">
        <v>5.0788E-2</v>
      </c>
      <c r="N2872" s="1478">
        <v>1.8994327690876449</v>
      </c>
      <c r="O2872" s="1478"/>
    </row>
    <row r="2873" spans="11:15">
      <c r="K2873" s="1475">
        <v>44930</v>
      </c>
      <c r="L2873" s="1476" t="s">
        <v>2127</v>
      </c>
      <c r="M2873" s="1477">
        <v>5.0788E-2</v>
      </c>
      <c r="N2873" s="1478">
        <v>1.9003974530024093</v>
      </c>
      <c r="O2873" s="1478"/>
    </row>
    <row r="2874" spans="11:15">
      <c r="K2874" s="1475">
        <v>44931</v>
      </c>
      <c r="L2874" s="1476" t="s">
        <v>2127</v>
      </c>
      <c r="M2874" s="1477">
        <v>5.0788E-2</v>
      </c>
      <c r="N2874" s="1478">
        <v>1.9013626268608401</v>
      </c>
      <c r="O2874" s="1478"/>
    </row>
    <row r="2875" spans="11:15">
      <c r="K2875" s="1475">
        <v>44932</v>
      </c>
      <c r="L2875" s="1476" t="s">
        <v>2127</v>
      </c>
      <c r="M2875" s="1477">
        <v>5.0788E-2</v>
      </c>
      <c r="N2875" s="1478">
        <v>1.9023282909117702</v>
      </c>
      <c r="O2875" s="1478"/>
    </row>
    <row r="2876" spans="11:15">
      <c r="K2876" s="1475">
        <v>44933</v>
      </c>
      <c r="L2876" s="1476"/>
      <c r="M2876" s="1477">
        <v>0</v>
      </c>
      <c r="N2876" s="1478">
        <v>1.9023282909117702</v>
      </c>
      <c r="O2876" s="1478"/>
    </row>
    <row r="2877" spans="11:15">
      <c r="K2877" s="1475">
        <v>44934</v>
      </c>
      <c r="L2877" s="1476"/>
      <c r="M2877" s="1477">
        <v>0</v>
      </c>
      <c r="N2877" s="1478">
        <v>1.9023282909117702</v>
      </c>
      <c r="O2877" s="1478"/>
    </row>
    <row r="2878" spans="11:15">
      <c r="K2878" s="1475">
        <v>44935</v>
      </c>
      <c r="L2878" s="1476" t="s">
        <v>2127</v>
      </c>
      <c r="M2878" s="1477">
        <v>5.0788E-2</v>
      </c>
      <c r="N2878" s="1478">
        <v>1.9032944454041585</v>
      </c>
      <c r="O2878" s="1478"/>
    </row>
    <row r="2879" spans="11:15">
      <c r="K2879" s="1475">
        <v>44936</v>
      </c>
      <c r="L2879" s="1476" t="s">
        <v>2127</v>
      </c>
      <c r="M2879" s="1477">
        <v>5.0788E-2</v>
      </c>
      <c r="N2879" s="1478">
        <v>1.9042610905870905</v>
      </c>
      <c r="O2879" s="1478"/>
    </row>
    <row r="2880" spans="11:15">
      <c r="K2880" s="1475">
        <v>44937</v>
      </c>
      <c r="L2880" s="1476" t="s">
        <v>2127</v>
      </c>
      <c r="M2880" s="1477">
        <v>5.0788E-2</v>
      </c>
      <c r="N2880" s="1478">
        <v>1.905228226709778</v>
      </c>
      <c r="O2880" s="1478"/>
    </row>
    <row r="2881" spans="11:15">
      <c r="K2881" s="1475">
        <v>44938</v>
      </c>
      <c r="L2881" s="1476" t="s">
        <v>2127</v>
      </c>
      <c r="M2881" s="1477">
        <v>5.0788E-2</v>
      </c>
      <c r="N2881" s="1478">
        <v>1.9061958540215593</v>
      </c>
      <c r="O2881" s="1478"/>
    </row>
    <row r="2882" spans="11:15">
      <c r="K2882" s="1475">
        <v>44939</v>
      </c>
      <c r="L2882" s="1476" t="s">
        <v>2127</v>
      </c>
      <c r="M2882" s="1477">
        <v>5.0788E-2</v>
      </c>
      <c r="N2882" s="1478">
        <v>1.9071639727718999</v>
      </c>
      <c r="O2882" s="1478"/>
    </row>
    <row r="2883" spans="11:15">
      <c r="K2883" s="1475">
        <v>44940</v>
      </c>
      <c r="L2883" s="1476"/>
      <c r="M2883" s="1477">
        <v>0</v>
      </c>
      <c r="N2883" s="1478">
        <v>1.9071639727718999</v>
      </c>
      <c r="O2883" s="1478"/>
    </row>
    <row r="2884" spans="11:15">
      <c r="K2884" s="1475">
        <v>44941</v>
      </c>
      <c r="L2884" s="1476"/>
      <c r="M2884" s="1477">
        <v>0</v>
      </c>
      <c r="N2884" s="1478">
        <v>1.9071639727718999</v>
      </c>
      <c r="O2884" s="1478"/>
    </row>
    <row r="2885" spans="11:15">
      <c r="K2885" s="1475">
        <v>44942</v>
      </c>
      <c r="L2885" s="1476" t="s">
        <v>2127</v>
      </c>
      <c r="M2885" s="1477">
        <v>5.0788E-2</v>
      </c>
      <c r="N2885" s="1478">
        <v>1.9081325832103913</v>
      </c>
      <c r="O2885" s="1478"/>
    </row>
    <row r="2886" spans="11:15">
      <c r="K2886" s="1475">
        <v>44943</v>
      </c>
      <c r="L2886" s="1476" t="s">
        <v>2127</v>
      </c>
      <c r="M2886" s="1477">
        <v>5.0788E-2</v>
      </c>
      <c r="N2886" s="1478">
        <v>1.9091016855867522</v>
      </c>
      <c r="O2886" s="1478"/>
    </row>
    <row r="2887" spans="11:15">
      <c r="K2887" s="1475">
        <v>44944</v>
      </c>
      <c r="L2887" s="1476" t="s">
        <v>2127</v>
      </c>
      <c r="M2887" s="1477">
        <v>5.0788E-2</v>
      </c>
      <c r="N2887" s="1478">
        <v>1.9100712801508279</v>
      </c>
      <c r="O2887" s="1478"/>
    </row>
    <row r="2888" spans="11:15">
      <c r="K2888" s="1475">
        <v>44945</v>
      </c>
      <c r="L2888" s="1476" t="s">
        <v>2127</v>
      </c>
      <c r="M2888" s="1477">
        <v>5.0788E-2</v>
      </c>
      <c r="N2888" s="1478">
        <v>1.911041367152591</v>
      </c>
      <c r="O2888" s="1478"/>
    </row>
    <row r="2889" spans="11:15">
      <c r="K2889" s="1475">
        <v>44946</v>
      </c>
      <c r="L2889" s="1476" t="s">
        <v>2127</v>
      </c>
      <c r="M2889" s="1477">
        <v>5.0788E-2</v>
      </c>
      <c r="N2889" s="1478">
        <v>1.9120119468421404</v>
      </c>
      <c r="O2889" s="1478"/>
    </row>
    <row r="2890" spans="11:15">
      <c r="K2890" s="1475">
        <v>44947</v>
      </c>
      <c r="L2890" s="1476"/>
      <c r="M2890" s="1477">
        <v>0</v>
      </c>
      <c r="N2890" s="1478">
        <v>1.9120119468421404</v>
      </c>
      <c r="O2890" s="1478"/>
    </row>
    <row r="2891" spans="11:15">
      <c r="K2891" s="1475">
        <v>44948</v>
      </c>
      <c r="L2891" s="1476"/>
      <c r="M2891" s="1477">
        <v>0</v>
      </c>
      <c r="N2891" s="1478">
        <v>1.9120119468421404</v>
      </c>
      <c r="O2891" s="1478"/>
    </row>
    <row r="2892" spans="11:15">
      <c r="K2892" s="1475">
        <v>44949</v>
      </c>
      <c r="L2892" s="1476" t="s">
        <v>2127</v>
      </c>
      <c r="M2892" s="1477">
        <v>5.0788E-2</v>
      </c>
      <c r="N2892" s="1478">
        <v>1.9129830194697026</v>
      </c>
      <c r="O2892" s="1478"/>
    </row>
    <row r="2893" spans="11:15">
      <c r="K2893" s="1475">
        <v>44950</v>
      </c>
      <c r="L2893" s="1476" t="s">
        <v>2127</v>
      </c>
      <c r="M2893" s="1477">
        <v>5.0788E-2</v>
      </c>
      <c r="N2893" s="1478">
        <v>1.913954585285631</v>
      </c>
      <c r="O2893" s="1478"/>
    </row>
    <row r="2894" spans="11:15">
      <c r="K2894" s="1475">
        <v>44951</v>
      </c>
      <c r="L2894" s="1476" t="s">
        <v>2127</v>
      </c>
      <c r="M2894" s="1477">
        <v>5.0788E-2</v>
      </c>
      <c r="N2894" s="1478">
        <v>1.9149266445404058</v>
      </c>
      <c r="O2894" s="1478"/>
    </row>
    <row r="2895" spans="11:15">
      <c r="K2895" s="1475">
        <v>44952</v>
      </c>
      <c r="L2895" s="1476" t="s">
        <v>2127</v>
      </c>
      <c r="M2895" s="1477">
        <v>5.0788E-2</v>
      </c>
      <c r="N2895" s="1478">
        <v>1.9158991974846351</v>
      </c>
      <c r="O2895" s="1478"/>
    </row>
    <row r="2896" spans="11:15">
      <c r="K2896" s="1475">
        <v>44953</v>
      </c>
      <c r="L2896" s="1476" t="s">
        <v>2127</v>
      </c>
      <c r="M2896" s="1477">
        <v>5.0788E-2</v>
      </c>
      <c r="N2896" s="1478">
        <v>1.9168722443690536</v>
      </c>
      <c r="O2896" s="1478"/>
    </row>
    <row r="2897" spans="11:15">
      <c r="K2897" s="1475">
        <v>44954</v>
      </c>
      <c r="L2897" s="1476"/>
      <c r="M2897" s="1477">
        <v>0</v>
      </c>
      <c r="N2897" s="1478">
        <v>1.9168722443690536</v>
      </c>
      <c r="O2897" s="1478"/>
    </row>
    <row r="2898" spans="11:15">
      <c r="K2898" s="1475">
        <v>44955</v>
      </c>
      <c r="L2898" s="1476"/>
      <c r="M2898" s="1477">
        <v>0</v>
      </c>
      <c r="N2898" s="1478">
        <v>1.9168722443690536</v>
      </c>
      <c r="O2898" s="1478"/>
    </row>
    <row r="2899" spans="11:15">
      <c r="K2899" s="1475">
        <v>44956</v>
      </c>
      <c r="L2899" s="1476" t="s">
        <v>2127</v>
      </c>
      <c r="M2899" s="1477">
        <v>5.0788E-2</v>
      </c>
      <c r="N2899" s="1478">
        <v>1.9178457854445237</v>
      </c>
      <c r="O2899" s="1478"/>
    </row>
    <row r="2900" spans="11:15">
      <c r="K2900" s="1475">
        <v>44957</v>
      </c>
      <c r="L2900" s="1476" t="s">
        <v>2127</v>
      </c>
      <c r="M2900" s="1477">
        <v>5.0788E-2</v>
      </c>
      <c r="N2900" s="1478">
        <v>1.9188198209620353</v>
      </c>
      <c r="O2900" s="1478"/>
    </row>
    <row r="2901" spans="11:15">
      <c r="K2901" s="1475">
        <v>44958</v>
      </c>
      <c r="L2901" s="1476" t="s">
        <v>2127</v>
      </c>
      <c r="M2901" s="1477">
        <v>5.0788E-2</v>
      </c>
      <c r="N2901" s="1478">
        <v>1.9197943511727056</v>
      </c>
      <c r="O2901" s="1478"/>
    </row>
    <row r="2902" spans="11:15">
      <c r="K2902" s="1475">
        <v>44959</v>
      </c>
      <c r="L2902" s="1476" t="s">
        <v>2127</v>
      </c>
      <c r="M2902" s="1477">
        <v>5.0788E-2</v>
      </c>
      <c r="N2902" s="1478">
        <v>1.9207693763277791</v>
      </c>
      <c r="O2902" s="1478"/>
    </row>
    <row r="2903" spans="11:15">
      <c r="K2903" s="1475">
        <v>44960</v>
      </c>
      <c r="L2903" s="1476" t="s">
        <v>2127</v>
      </c>
      <c r="M2903" s="1477">
        <v>5.0788E-2</v>
      </c>
      <c r="N2903" s="1478">
        <v>1.9217448966786286</v>
      </c>
      <c r="O2903" s="1478"/>
    </row>
    <row r="2904" spans="11:15">
      <c r="K2904" s="1475">
        <v>44961</v>
      </c>
      <c r="L2904" s="1476"/>
      <c r="M2904" s="1477">
        <v>0</v>
      </c>
      <c r="N2904" s="1478">
        <v>1.9217448966786286</v>
      </c>
      <c r="O2904" s="1478"/>
    </row>
    <row r="2905" spans="11:15">
      <c r="K2905" s="1475">
        <v>44962</v>
      </c>
      <c r="L2905" s="1476"/>
      <c r="M2905" s="1477">
        <v>0</v>
      </c>
      <c r="N2905" s="1478">
        <v>1.9217448966786286</v>
      </c>
      <c r="O2905" s="1478"/>
    </row>
    <row r="2906" spans="11:15">
      <c r="K2906" s="1475">
        <v>44963</v>
      </c>
      <c r="L2906" s="1476" t="s">
        <v>2127</v>
      </c>
      <c r="M2906" s="1477">
        <v>5.0788E-2</v>
      </c>
      <c r="N2906" s="1478">
        <v>1.9227209124767537</v>
      </c>
      <c r="O2906" s="1478"/>
    </row>
    <row r="2907" spans="11:15">
      <c r="K2907" s="1475">
        <v>44964</v>
      </c>
      <c r="L2907" s="1476" t="s">
        <v>2127</v>
      </c>
      <c r="M2907" s="1477">
        <v>5.0788E-2</v>
      </c>
      <c r="N2907" s="1478">
        <v>1.9236974239737825</v>
      </c>
      <c r="O2907" s="1478"/>
    </row>
    <row r="2908" spans="11:15">
      <c r="K2908" s="1475">
        <v>44965</v>
      </c>
      <c r="L2908" s="1476" t="s">
        <v>2127</v>
      </c>
      <c r="M2908" s="1477">
        <v>5.0788E-2</v>
      </c>
      <c r="N2908" s="1478">
        <v>1.9246744314214703</v>
      </c>
      <c r="O2908" s="1478"/>
    </row>
    <row r="2909" spans="11:15">
      <c r="K2909" s="1475">
        <v>44966</v>
      </c>
      <c r="L2909" s="1476" t="s">
        <v>2127</v>
      </c>
      <c r="M2909" s="1477">
        <v>5.0788E-2</v>
      </c>
      <c r="N2909" s="1478">
        <v>1.9256519350717007</v>
      </c>
      <c r="O2909" s="1478"/>
    </row>
    <row r="2910" spans="11:15">
      <c r="K2910" s="1475">
        <v>44967</v>
      </c>
      <c r="L2910" s="1476" t="s">
        <v>2127</v>
      </c>
      <c r="M2910" s="1477">
        <v>5.0788E-2</v>
      </c>
      <c r="N2910" s="1478">
        <v>1.9266299351764851</v>
      </c>
      <c r="O2910" s="1478"/>
    </row>
    <row r="2911" spans="11:15">
      <c r="K2911" s="1475">
        <v>44968</v>
      </c>
      <c r="L2911" s="1476"/>
      <c r="M2911" s="1477">
        <v>0</v>
      </c>
      <c r="N2911" s="1478">
        <v>1.9266299351764851</v>
      </c>
      <c r="O2911" s="1478"/>
    </row>
    <row r="2912" spans="11:15">
      <c r="K2912" s="1475">
        <v>44969</v>
      </c>
      <c r="L2912" s="1476"/>
      <c r="M2912" s="1477">
        <v>0</v>
      </c>
      <c r="N2912" s="1478">
        <v>1.9266299351764851</v>
      </c>
      <c r="O2912" s="1478"/>
    </row>
    <row r="2913" spans="11:15">
      <c r="K2913" s="1475">
        <v>44970</v>
      </c>
      <c r="L2913" s="1476" t="s">
        <v>2127</v>
      </c>
      <c r="M2913" s="1477">
        <v>5.0788E-2</v>
      </c>
      <c r="N2913" s="1478">
        <v>1.9276084319879625</v>
      </c>
      <c r="O2913" s="1478"/>
    </row>
    <row r="2914" spans="11:15">
      <c r="K2914" s="1475">
        <v>44971</v>
      </c>
      <c r="L2914" s="1476" t="s">
        <v>2127</v>
      </c>
      <c r="M2914" s="1477">
        <v>5.0788E-2</v>
      </c>
      <c r="N2914" s="1478">
        <v>1.9285874257584006</v>
      </c>
      <c r="O2914" s="1478"/>
    </row>
    <row r="2915" spans="11:15">
      <c r="K2915" s="1475">
        <v>44972</v>
      </c>
      <c r="L2915" s="1476" t="s">
        <v>2127</v>
      </c>
      <c r="M2915" s="1477">
        <v>5.0788E-2</v>
      </c>
      <c r="N2915" s="1478">
        <v>1.9295669167401948</v>
      </c>
      <c r="O2915" s="1478"/>
    </row>
    <row r="2916" spans="11:15">
      <c r="K2916" s="1475">
        <v>44973</v>
      </c>
      <c r="L2916" s="1476" t="s">
        <v>2127</v>
      </c>
      <c r="M2916" s="1477">
        <v>5.0788E-2</v>
      </c>
      <c r="N2916" s="1478">
        <v>1.9305469051858688</v>
      </c>
      <c r="O2916" s="1478"/>
    </row>
    <row r="2917" spans="11:15">
      <c r="K2917" s="1475">
        <v>44974</v>
      </c>
      <c r="L2917" s="1476" t="s">
        <v>2127</v>
      </c>
      <c r="M2917" s="1477">
        <v>5.0788E-2</v>
      </c>
      <c r="N2917" s="1478">
        <v>1.9315273913480746</v>
      </c>
      <c r="O2917" s="1478"/>
    </row>
    <row r="2918" spans="11:15">
      <c r="K2918" s="1475">
        <v>44975</v>
      </c>
      <c r="L2918" s="1476"/>
      <c r="M2918" s="1477">
        <v>0</v>
      </c>
      <c r="N2918" s="1478">
        <v>1.9315273913480746</v>
      </c>
      <c r="O2918" s="1478"/>
    </row>
    <row r="2919" spans="11:15">
      <c r="K2919" s="1475">
        <v>44976</v>
      </c>
      <c r="L2919" s="1476"/>
      <c r="M2919" s="1477">
        <v>0</v>
      </c>
      <c r="N2919" s="1478">
        <v>1.9315273913480746</v>
      </c>
      <c r="O2919" s="1478"/>
    </row>
    <row r="2920" spans="11:15">
      <c r="K2920" s="1475">
        <v>44977</v>
      </c>
      <c r="L2920" s="1476"/>
      <c r="M2920" s="1477">
        <v>0</v>
      </c>
      <c r="N2920" s="1478">
        <v>1.9315273913480746</v>
      </c>
      <c r="O2920" s="1478"/>
    </row>
    <row r="2921" spans="11:15">
      <c r="K2921" s="1475">
        <v>44978</v>
      </c>
      <c r="L2921" s="1476"/>
      <c r="M2921" s="1477">
        <v>0</v>
      </c>
      <c r="N2921" s="1478">
        <v>1.9315273913480746</v>
      </c>
      <c r="O2921" s="1478"/>
    </row>
    <row r="2922" spans="11:15">
      <c r="K2922" s="1475">
        <v>44979</v>
      </c>
      <c r="L2922" s="1476" t="s">
        <v>2127</v>
      </c>
      <c r="M2922" s="1477">
        <v>5.0788E-2</v>
      </c>
      <c r="N2922" s="1478">
        <v>1.9325083754795924</v>
      </c>
      <c r="O2922" s="1478"/>
    </row>
    <row r="2923" spans="11:15">
      <c r="K2923" s="1475">
        <v>44980</v>
      </c>
      <c r="L2923" s="1476" t="s">
        <v>2127</v>
      </c>
      <c r="M2923" s="1477">
        <v>5.0788E-2</v>
      </c>
      <c r="N2923" s="1478">
        <v>1.933489857833331</v>
      </c>
      <c r="O2923" s="1478"/>
    </row>
    <row r="2924" spans="11:15">
      <c r="K2924" s="1475">
        <v>44981</v>
      </c>
      <c r="L2924" s="1476" t="s">
        <v>2127</v>
      </c>
      <c r="M2924" s="1477">
        <v>5.0788E-2</v>
      </c>
      <c r="N2924" s="1478">
        <v>1.9344718386623274</v>
      </c>
      <c r="O2924" s="1478"/>
    </row>
    <row r="2925" spans="11:15">
      <c r="K2925" s="1475">
        <v>44982</v>
      </c>
      <c r="L2925" s="1476"/>
      <c r="M2925" s="1477">
        <v>0</v>
      </c>
      <c r="N2925" s="1478">
        <v>1.9344718386623274</v>
      </c>
      <c r="O2925" s="1478"/>
    </row>
    <row r="2926" spans="11:15">
      <c r="K2926" s="1475">
        <v>44983</v>
      </c>
      <c r="L2926" s="1476"/>
      <c r="M2926" s="1477">
        <v>0</v>
      </c>
      <c r="N2926" s="1478">
        <v>1.9344718386623274</v>
      </c>
      <c r="O2926" s="1478"/>
    </row>
    <row r="2927" spans="11:15">
      <c r="K2927" s="1475">
        <v>44984</v>
      </c>
      <c r="L2927" s="1476" t="s">
        <v>2127</v>
      </c>
      <c r="M2927" s="1477">
        <v>5.0788E-2</v>
      </c>
      <c r="N2927" s="1478">
        <v>1.9354543182197472</v>
      </c>
      <c r="O2927" s="1478"/>
    </row>
    <row r="2928" spans="11:15">
      <c r="K2928" s="1475">
        <v>44985</v>
      </c>
      <c r="L2928" s="1476" t="s">
        <v>2127</v>
      </c>
      <c r="M2928" s="1477">
        <v>5.0788E-2</v>
      </c>
      <c r="N2928" s="1478">
        <v>1.9364372967588848</v>
      </c>
      <c r="O2928" s="1478"/>
    </row>
    <row r="2929" spans="11:15">
      <c r="K2929" s="1475">
        <v>44986</v>
      </c>
      <c r="L2929" s="1476" t="s">
        <v>2127</v>
      </c>
      <c r="M2929" s="1477">
        <v>5.0788E-2</v>
      </c>
      <c r="N2929" s="1478">
        <v>1.9374207745331626</v>
      </c>
      <c r="O2929" s="1478"/>
    </row>
    <row r="2930" spans="11:15">
      <c r="K2930" s="1475">
        <v>44987</v>
      </c>
      <c r="L2930" s="1479" t="s">
        <v>2127</v>
      </c>
      <c r="M2930" s="851">
        <v>5.0788E-2</v>
      </c>
      <c r="N2930" s="1479">
        <v>1.9384047517961325</v>
      </c>
      <c r="O2930" s="1479"/>
    </row>
    <row r="2931" spans="11:15">
      <c r="K2931" s="1475">
        <v>44988</v>
      </c>
      <c r="L2931" s="1479" t="s">
        <v>2127</v>
      </c>
      <c r="M2931" s="851">
        <v>5.0788E-2</v>
      </c>
      <c r="N2931" s="1479">
        <v>1.9393892288014747</v>
      </c>
      <c r="O2931" s="1479"/>
    </row>
    <row r="2932" spans="11:15">
      <c r="K2932" s="1475">
        <v>44989</v>
      </c>
      <c r="L2932" s="1479"/>
      <c r="M2932" s="851">
        <v>0</v>
      </c>
      <c r="N2932" s="1479">
        <v>1.9393892288014747</v>
      </c>
      <c r="O2932" s="1479"/>
    </row>
    <row r="2933" spans="11:15">
      <c r="K2933" s="1475">
        <v>44990</v>
      </c>
      <c r="L2933" s="1479"/>
      <c r="M2933" s="851">
        <v>0</v>
      </c>
      <c r="N2933" s="1479">
        <v>1.9393892288014747</v>
      </c>
      <c r="O2933" s="1479"/>
    </row>
    <row r="2934" spans="11:15">
      <c r="K2934" s="1475">
        <v>44991</v>
      </c>
      <c r="L2934" s="1479" t="s">
        <v>2127</v>
      </c>
      <c r="M2934" s="851">
        <v>5.0788E-2</v>
      </c>
      <c r="N2934" s="1479">
        <v>1.9403742058029985</v>
      </c>
      <c r="O2934" s="1479"/>
    </row>
    <row r="2935" spans="11:15">
      <c r="K2935" s="1475">
        <v>44992</v>
      </c>
      <c r="L2935" s="1479" t="s">
        <v>2127</v>
      </c>
      <c r="M2935" s="851">
        <v>5.0788E-2</v>
      </c>
      <c r="N2935" s="1479">
        <v>1.9413596830546418</v>
      </c>
      <c r="O2935" s="1479"/>
    </row>
    <row r="2936" spans="11:15">
      <c r="K2936" s="1475">
        <v>44993</v>
      </c>
      <c r="L2936" s="1479" t="s">
        <v>2127</v>
      </c>
      <c r="M2936" s="851">
        <v>5.0788E-2</v>
      </c>
      <c r="N2936" s="1479">
        <v>1.9423456608104717</v>
      </c>
      <c r="O2936" s="1479"/>
    </row>
    <row r="2937" spans="11:15">
      <c r="K2937" s="1475">
        <v>44994</v>
      </c>
      <c r="L2937" s="1479" t="s">
        <v>2127</v>
      </c>
      <c r="M2937" s="851">
        <v>5.0788E-2</v>
      </c>
      <c r="N2937" s="1479">
        <v>1.9433321393246841</v>
      </c>
      <c r="O2937" s="1479"/>
    </row>
    <row r="2938" spans="11:15">
      <c r="K2938" s="1475">
        <v>44995</v>
      </c>
      <c r="L2938" s="1479" t="s">
        <v>2127</v>
      </c>
      <c r="M2938" s="851">
        <v>5.0788E-2</v>
      </c>
      <c r="N2938" s="1479">
        <v>1.9443191188516042</v>
      </c>
      <c r="O2938" s="1479"/>
    </row>
    <row r="2939" spans="11:15">
      <c r="K2939" s="1475">
        <v>44996</v>
      </c>
      <c r="L2939" s="1479"/>
      <c r="M2939" s="851">
        <v>0</v>
      </c>
      <c r="N2939" s="1479">
        <v>1.9443191188516042</v>
      </c>
      <c r="O2939" s="1479"/>
    </row>
    <row r="2940" spans="11:15">
      <c r="K2940" s="1475">
        <v>44997</v>
      </c>
      <c r="L2940" s="1479"/>
      <c r="M2940" s="851">
        <v>0</v>
      </c>
      <c r="N2940" s="1479">
        <v>1.9443191188516042</v>
      </c>
      <c r="O2940" s="1479"/>
    </row>
    <row r="2941" spans="11:15">
      <c r="K2941" s="1475">
        <v>44998</v>
      </c>
      <c r="L2941" s="1479" t="s">
        <v>2127</v>
      </c>
      <c r="M2941" s="851">
        <v>5.0788E-2</v>
      </c>
      <c r="N2941" s="1479">
        <v>1.9453065996456866</v>
      </c>
      <c r="O2941" s="1479"/>
    </row>
    <row r="2942" spans="11:15">
      <c r="K2942" s="1475">
        <v>44999</v>
      </c>
      <c r="L2942" s="1479" t="s">
        <v>2127</v>
      </c>
      <c r="M2942" s="851">
        <v>5.0788E-2</v>
      </c>
      <c r="N2942" s="1479">
        <v>1.9462945819615147</v>
      </c>
      <c r="O2942" s="1479"/>
    </row>
    <row r="2943" spans="11:15">
      <c r="K2943" s="1475">
        <v>45000</v>
      </c>
      <c r="L2943" s="1479" t="s">
        <v>2127</v>
      </c>
      <c r="M2943" s="851">
        <v>5.0788E-2</v>
      </c>
      <c r="N2943" s="1479">
        <v>1.9472830660538014</v>
      </c>
      <c r="O2943" s="1479"/>
    </row>
    <row r="2944" spans="11:15">
      <c r="K2944" s="1475">
        <v>45001</v>
      </c>
      <c r="L2944" s="1479" t="s">
        <v>2127</v>
      </c>
      <c r="M2944" s="851">
        <v>5.0788E-2</v>
      </c>
      <c r="N2944" s="1479">
        <v>1.9482720521773889</v>
      </c>
      <c r="O2944" s="1479"/>
    </row>
    <row r="2945" spans="11:15">
      <c r="K2945" s="1475">
        <v>45002</v>
      </c>
      <c r="L2945" s="1479" t="s">
        <v>2127</v>
      </c>
      <c r="M2945" s="851">
        <v>5.0788E-2</v>
      </c>
      <c r="N2945" s="1479">
        <v>1.9492615405872487</v>
      </c>
      <c r="O2945" s="1479"/>
    </row>
    <row r="2946" spans="11:15">
      <c r="K2946" s="1475">
        <v>45003</v>
      </c>
      <c r="L2946" s="1479"/>
      <c r="M2946" s="851">
        <v>0</v>
      </c>
      <c r="N2946" s="1479">
        <v>1.9492615405872487</v>
      </c>
      <c r="O2946" s="1479"/>
    </row>
    <row r="2947" spans="11:15">
      <c r="K2947" s="1475">
        <v>45004</v>
      </c>
      <c r="L2947" s="1479"/>
      <c r="M2947" s="851">
        <v>0</v>
      </c>
      <c r="N2947" s="1479">
        <v>1.9492615405872487</v>
      </c>
      <c r="O2947" s="1479"/>
    </row>
    <row r="2948" spans="11:15">
      <c r="K2948" s="1475">
        <v>45005</v>
      </c>
      <c r="L2948" s="1479" t="s">
        <v>2127</v>
      </c>
      <c r="M2948" s="851">
        <v>5.0788E-2</v>
      </c>
      <c r="N2948" s="1479">
        <v>1.9502515315384821</v>
      </c>
      <c r="O2948" s="1479"/>
    </row>
    <row r="2949" spans="11:15">
      <c r="K2949" s="1475">
        <v>45006</v>
      </c>
      <c r="L2949" s="1479" t="s">
        <v>2127</v>
      </c>
      <c r="M2949" s="851">
        <v>5.0788E-2</v>
      </c>
      <c r="N2949" s="1479">
        <v>1.9512420252863198</v>
      </c>
      <c r="O2949" s="1479"/>
    </row>
    <row r="2950" spans="11:15">
      <c r="K2950" s="1475">
        <v>45007</v>
      </c>
      <c r="L2950" s="1479" t="s">
        <v>2127</v>
      </c>
      <c r="M2950" s="851">
        <v>5.0788E-2</v>
      </c>
      <c r="N2950" s="1479">
        <v>1.9522330220861224</v>
      </c>
      <c r="O2950" s="1479"/>
    </row>
    <row r="2951" spans="11:15">
      <c r="K2951" s="1475">
        <v>45008</v>
      </c>
      <c r="L2951" s="1479" t="s">
        <v>2127</v>
      </c>
      <c r="M2951" s="851">
        <v>5.0788E-2</v>
      </c>
      <c r="N2951" s="1479">
        <v>1.9532245221933795</v>
      </c>
      <c r="O2951" s="1479"/>
    </row>
    <row r="2952" spans="11:15">
      <c r="K2952" s="1475">
        <v>45009</v>
      </c>
      <c r="L2952" s="1479" t="s">
        <v>2127</v>
      </c>
      <c r="M2952" s="851">
        <v>5.0788E-2</v>
      </c>
      <c r="N2952" s="1479">
        <v>1.9542165258637112</v>
      </c>
      <c r="O2952" s="1479"/>
    </row>
    <row r="2953" spans="11:15">
      <c r="K2953" s="1475">
        <v>45010</v>
      </c>
      <c r="L2953" s="1479"/>
      <c r="M2953" s="851">
        <v>0</v>
      </c>
      <c r="N2953" s="1479">
        <v>1.9542165258637112</v>
      </c>
      <c r="O2953" s="1479"/>
    </row>
    <row r="2954" spans="11:15">
      <c r="K2954" s="1475">
        <v>45011</v>
      </c>
      <c r="L2954" s="1479"/>
      <c r="M2954" s="851">
        <v>0</v>
      </c>
      <c r="N2954" s="1479">
        <v>1.9542165258637112</v>
      </c>
      <c r="O2954" s="1479"/>
    </row>
    <row r="2955" spans="11:15">
      <c r="K2955" s="1475">
        <v>45012</v>
      </c>
      <c r="L2955" s="1479" t="s">
        <v>2127</v>
      </c>
      <c r="M2955" s="851">
        <v>5.0788E-2</v>
      </c>
      <c r="N2955" s="1479">
        <v>1.9552090333528669</v>
      </c>
      <c r="O2955" s="1479"/>
    </row>
    <row r="2956" spans="11:15">
      <c r="K2956" s="1475">
        <v>45013</v>
      </c>
      <c r="L2956" s="1479" t="s">
        <v>2127</v>
      </c>
      <c r="M2956" s="851">
        <v>5.0788E-2</v>
      </c>
      <c r="N2956" s="1479">
        <v>1.9562020449167261</v>
      </c>
      <c r="O2956" s="1479"/>
    </row>
    <row r="2957" spans="11:15">
      <c r="K2957" s="1475">
        <v>45014</v>
      </c>
      <c r="L2957" s="1479" t="s">
        <v>2127</v>
      </c>
      <c r="M2957" s="851">
        <v>5.0788E-2</v>
      </c>
      <c r="N2957" s="1479">
        <v>1.9571955608112985</v>
      </c>
      <c r="O2957" s="1479"/>
    </row>
    <row r="2958" spans="11:15">
      <c r="K2958" s="1475">
        <v>45015</v>
      </c>
      <c r="L2958" s="1479" t="s">
        <v>2127</v>
      </c>
      <c r="M2958" s="851">
        <v>5.0788E-2</v>
      </c>
      <c r="N2958" s="1479">
        <v>1.9581895812927235</v>
      </c>
      <c r="O2958" s="1479"/>
    </row>
    <row r="2959" spans="11:15">
      <c r="K2959" s="1475">
        <v>45016</v>
      </c>
      <c r="L2959" s="1479" t="s">
        <v>2127</v>
      </c>
      <c r="M2959" s="851">
        <v>5.0788E-2</v>
      </c>
      <c r="N2959" s="1479">
        <v>1.9591841066172704</v>
      </c>
      <c r="O2959" s="1479"/>
    </row>
    <row r="2960" spans="11:15">
      <c r="K2960" s="1475">
        <v>45017</v>
      </c>
      <c r="L2960" s="1479"/>
      <c r="M2960" s="851">
        <v>0</v>
      </c>
      <c r="N2960" s="1479">
        <v>1.9591841066172704</v>
      </c>
      <c r="O2960" s="1479"/>
    </row>
    <row r="2961" spans="11:15">
      <c r="K2961" s="1475">
        <v>45018</v>
      </c>
      <c r="L2961" s="1479"/>
      <c r="M2961" s="851">
        <v>0</v>
      </c>
      <c r="N2961" s="1479">
        <v>1.9591841066172704</v>
      </c>
      <c r="O2961" s="1479"/>
    </row>
    <row r="2962" spans="11:15">
      <c r="K2962" s="1475">
        <v>45019</v>
      </c>
      <c r="L2962" s="1479" t="s">
        <v>2127</v>
      </c>
      <c r="M2962" s="851">
        <v>5.0788E-2</v>
      </c>
      <c r="N2962" s="1479">
        <v>1.9601791370413393</v>
      </c>
      <c r="O2962" s="1479"/>
    </row>
    <row r="2963" spans="11:15">
      <c r="K2963" s="1475">
        <v>45020</v>
      </c>
      <c r="L2963" s="1479" t="s">
        <v>2127</v>
      </c>
      <c r="M2963" s="851">
        <v>5.0788E-2</v>
      </c>
      <c r="N2963" s="1479">
        <v>1.9611746728214599</v>
      </c>
      <c r="O2963" s="1479"/>
    </row>
    <row r="2964" spans="11:15">
      <c r="K2964" s="1475">
        <v>45021</v>
      </c>
      <c r="L2964" s="1479" t="s">
        <v>2127</v>
      </c>
      <c r="M2964" s="851">
        <v>5.0788E-2</v>
      </c>
      <c r="N2964" s="1479">
        <v>1.9621707142142923</v>
      </c>
      <c r="O2964" s="1479"/>
    </row>
    <row r="2965" spans="11:15">
      <c r="K2965" s="1475">
        <v>45022</v>
      </c>
      <c r="L2965" s="1479" t="s">
        <v>2127</v>
      </c>
      <c r="M2965" s="851">
        <v>5.0788E-2</v>
      </c>
      <c r="N2965" s="1479">
        <v>1.9631672614766276</v>
      </c>
      <c r="O2965" s="1479"/>
    </row>
    <row r="2966" spans="11:15">
      <c r="K2966" s="1475">
        <v>45023</v>
      </c>
      <c r="L2966" s="1479"/>
      <c r="M2966" s="851">
        <v>0</v>
      </c>
      <c r="N2966" s="1479">
        <v>1.9631672614766276</v>
      </c>
      <c r="O2966" s="1479"/>
    </row>
    <row r="2967" spans="11:15">
      <c r="K2967" s="1475">
        <v>45024</v>
      </c>
      <c r="L2967" s="1479"/>
      <c r="M2967" s="851">
        <v>0</v>
      </c>
      <c r="N2967" s="1479">
        <v>1.9631672614766276</v>
      </c>
      <c r="O2967" s="1479"/>
    </row>
    <row r="2968" spans="11:15">
      <c r="K2968" s="1475">
        <v>45025</v>
      </c>
      <c r="L2968" s="1479"/>
      <c r="M2968" s="851">
        <v>0</v>
      </c>
      <c r="N2968" s="1479">
        <v>1.9631672614766276</v>
      </c>
      <c r="O2968" s="1479"/>
    </row>
    <row r="2969" spans="11:15">
      <c r="K2969" s="1475">
        <v>45026</v>
      </c>
      <c r="L2969" s="1479" t="s">
        <v>2127</v>
      </c>
      <c r="M2969" s="851">
        <v>5.0788E-2</v>
      </c>
      <c r="N2969" s="1479">
        <v>1.9641643148653865</v>
      </c>
      <c r="O2969" s="1479"/>
    </row>
    <row r="2970" spans="11:15">
      <c r="K2970" s="1475">
        <v>45027</v>
      </c>
      <c r="L2970" s="1479" t="s">
        <v>2127</v>
      </c>
      <c r="M2970" s="851">
        <v>5.0788E-2</v>
      </c>
      <c r="N2970" s="1479">
        <v>1.9651618746376203</v>
      </c>
      <c r="O2970" s="1479"/>
    </row>
    <row r="2971" spans="11:15">
      <c r="K2971" s="1475">
        <v>45028</v>
      </c>
      <c r="L2971" s="1479" t="s">
        <v>2127</v>
      </c>
      <c r="M2971" s="851">
        <v>5.0788E-2</v>
      </c>
      <c r="N2971" s="1479">
        <v>1.9661599410505113</v>
      </c>
      <c r="O2971" s="1479"/>
    </row>
    <row r="2972" spans="11:15">
      <c r="K2972" s="1475">
        <v>45029</v>
      </c>
      <c r="L2972" s="1479" t="s">
        <v>2127</v>
      </c>
      <c r="M2972" s="851">
        <v>5.0788E-2</v>
      </c>
      <c r="N2972" s="1479">
        <v>1.9671585143613721</v>
      </c>
      <c r="O2972" s="1479"/>
    </row>
    <row r="2973" spans="11:15">
      <c r="K2973" s="1475">
        <v>45030</v>
      </c>
      <c r="L2973" s="1479" t="s">
        <v>2127</v>
      </c>
      <c r="M2973" s="851">
        <v>5.0788E-2</v>
      </c>
      <c r="N2973" s="1479">
        <v>1.968157594827646</v>
      </c>
      <c r="O2973" s="1479"/>
    </row>
    <row r="2974" spans="11:15">
      <c r="K2974" s="1475">
        <v>45031</v>
      </c>
      <c r="L2974" s="1479"/>
      <c r="M2974" s="851">
        <v>0</v>
      </c>
      <c r="N2974" s="1479">
        <v>1.968157594827646</v>
      </c>
      <c r="O2974" s="1479"/>
    </row>
    <row r="2975" spans="11:15">
      <c r="K2975" s="1475">
        <v>45032</v>
      </c>
      <c r="L2975" s="1479"/>
      <c r="M2975" s="851">
        <v>0</v>
      </c>
      <c r="N2975" s="1479">
        <v>1.968157594827646</v>
      </c>
      <c r="O2975" s="1479"/>
    </row>
    <row r="2976" spans="11:15">
      <c r="K2976" s="1475">
        <v>45033</v>
      </c>
      <c r="L2976" s="1479" t="s">
        <v>2127</v>
      </c>
      <c r="M2976" s="851">
        <v>5.0788E-2</v>
      </c>
      <c r="N2976" s="1479">
        <v>1.969157182706907</v>
      </c>
      <c r="O2976" s="1479"/>
    </row>
    <row r="2977" spans="11:15">
      <c r="K2977" s="1475">
        <v>45034</v>
      </c>
      <c r="L2977" s="1479" t="s">
        <v>2127</v>
      </c>
      <c r="M2977" s="851">
        <v>5.0788E-2</v>
      </c>
      <c r="N2977" s="1479">
        <v>1.9701572782568602</v>
      </c>
      <c r="O2977" s="1479"/>
    </row>
    <row r="2978" spans="11:15">
      <c r="K2978" s="1475">
        <v>45035</v>
      </c>
      <c r="L2978" s="1479" t="s">
        <v>2127</v>
      </c>
      <c r="M2978" s="851">
        <v>5.0788E-2</v>
      </c>
      <c r="N2978" s="1479">
        <v>1.9711578817353412</v>
      </c>
      <c r="O2978" s="1479"/>
    </row>
    <row r="2979" spans="11:15">
      <c r="K2979" s="1475">
        <v>45036</v>
      </c>
      <c r="L2979" s="1479" t="s">
        <v>2127</v>
      </c>
      <c r="M2979" s="851">
        <v>5.0788E-2</v>
      </c>
      <c r="N2979" s="1479">
        <v>1.972158993400317</v>
      </c>
      <c r="O2979" s="1479"/>
    </row>
    <row r="2980" spans="11:15">
      <c r="K2980" s="1475">
        <v>45037</v>
      </c>
      <c r="L2980" s="1479"/>
      <c r="M2980" s="851">
        <v>0</v>
      </c>
      <c r="N2980" s="1479">
        <v>1.972158993400317</v>
      </c>
      <c r="O2980" s="1479"/>
    </row>
    <row r="2981" spans="11:15">
      <c r="K2981" s="1475">
        <v>45038</v>
      </c>
      <c r="L2981" s="1479"/>
      <c r="M2981" s="851">
        <v>0</v>
      </c>
      <c r="N2981" s="1479">
        <v>1.972158993400317</v>
      </c>
      <c r="O2981" s="1479"/>
    </row>
    <row r="2982" spans="11:15">
      <c r="K2982" s="1475">
        <v>45039</v>
      </c>
      <c r="L2982" s="1479"/>
      <c r="M2982" s="851">
        <v>0</v>
      </c>
      <c r="N2982" s="1479">
        <v>1.972158993400317</v>
      </c>
      <c r="O2982" s="1479"/>
    </row>
    <row r="2983" spans="11:15">
      <c r="K2983" s="1475">
        <v>45040</v>
      </c>
      <c r="L2983" s="1479" t="s">
        <v>2127</v>
      </c>
      <c r="M2983" s="851">
        <v>5.0788E-2</v>
      </c>
      <c r="N2983" s="1479">
        <v>1.9731606135098851</v>
      </c>
      <c r="O2983" s="1479"/>
    </row>
    <row r="2984" spans="11:15">
      <c r="K2984" s="1475">
        <v>45041</v>
      </c>
      <c r="L2984" s="1479" t="s">
        <v>2127</v>
      </c>
      <c r="M2984" s="851">
        <v>5.0788E-2</v>
      </c>
      <c r="N2984" s="1479">
        <v>1.9741627423222745</v>
      </c>
      <c r="O2984" s="1479"/>
    </row>
    <row r="2985" spans="11:15">
      <c r="K2985" s="1475">
        <v>45042</v>
      </c>
      <c r="L2985" s="1479" t="s">
        <v>2127</v>
      </c>
      <c r="M2985" s="851">
        <v>5.0788E-2</v>
      </c>
      <c r="N2985" s="1479">
        <v>1.9751653800958451</v>
      </c>
      <c r="O2985" s="1479"/>
    </row>
    <row r="2986" spans="11:15">
      <c r="K2986" s="1475">
        <v>45043</v>
      </c>
      <c r="L2986" s="1479" t="s">
        <v>2127</v>
      </c>
      <c r="M2986" s="851">
        <v>5.0788E-2</v>
      </c>
      <c r="N2986" s="1479">
        <v>1.9761685270890883</v>
      </c>
      <c r="O2986" s="1479"/>
    </row>
    <row r="2987" spans="11:15">
      <c r="K2987" s="1475">
        <v>45044</v>
      </c>
      <c r="L2987" s="1479" t="s">
        <v>2127</v>
      </c>
      <c r="M2987" s="851">
        <v>5.0788E-2</v>
      </c>
      <c r="N2987" s="1479">
        <v>1.9771721835606264</v>
      </c>
      <c r="O2987" s="1479"/>
    </row>
    <row r="2988" spans="11:15">
      <c r="K2988" s="1475">
        <v>45045</v>
      </c>
      <c r="L2988" s="1479"/>
      <c r="M2988" s="851">
        <v>0</v>
      </c>
      <c r="N2988" s="1479">
        <v>1.9771721835606264</v>
      </c>
      <c r="O2988" s="1479"/>
    </row>
    <row r="2989" spans="11:15">
      <c r="K2989" s="1475">
        <v>45046</v>
      </c>
      <c r="L2989" s="1479"/>
      <c r="M2989" s="851">
        <v>0</v>
      </c>
      <c r="N2989" s="1479">
        <v>1.9771721835606264</v>
      </c>
      <c r="O2989" s="1479"/>
    </row>
    <row r="2990" spans="11:15">
      <c r="K2990" s="1475">
        <v>45047</v>
      </c>
      <c r="L2990" s="1479"/>
      <c r="M2990" s="851">
        <v>0</v>
      </c>
      <c r="N2990" s="1479">
        <v>1.9771721835606264</v>
      </c>
      <c r="O2990" s="1479"/>
    </row>
    <row r="2991" spans="11:15">
      <c r="K2991" s="1475">
        <v>45048</v>
      </c>
      <c r="L2991" s="1479" t="s">
        <v>2127</v>
      </c>
      <c r="M2991" s="851">
        <v>5.0788E-2</v>
      </c>
      <c r="N2991" s="1479">
        <v>1.9781763497692133</v>
      </c>
      <c r="O2991" s="1479"/>
    </row>
    <row r="2992" spans="11:15">
      <c r="K2992" s="1475">
        <v>45049</v>
      </c>
      <c r="L2992" s="1479" t="s">
        <v>2127</v>
      </c>
      <c r="M2992" s="851">
        <v>5.0788E-2</v>
      </c>
      <c r="N2992" s="1479">
        <v>1.9791810259737341</v>
      </c>
      <c r="O2992" s="1479"/>
    </row>
    <row r="2993" spans="11:15">
      <c r="K2993" s="1475">
        <v>45050</v>
      </c>
      <c r="L2993" s="1479" t="s">
        <v>2127</v>
      </c>
      <c r="M2993" s="851">
        <v>5.0788E-2</v>
      </c>
      <c r="N2993" s="1479">
        <v>1.9801862124332057</v>
      </c>
      <c r="O2993" s="1479"/>
    </row>
    <row r="2994" spans="11:15">
      <c r="K2994" s="1475">
        <v>45051</v>
      </c>
      <c r="L2994" s="1479" t="s">
        <v>2127</v>
      </c>
      <c r="M2994" s="851">
        <v>5.0788E-2</v>
      </c>
      <c r="N2994" s="1479">
        <v>1.9811919094067763</v>
      </c>
      <c r="O2994" s="1479"/>
    </row>
    <row r="2995" spans="11:15">
      <c r="K2995" s="1475">
        <v>45052</v>
      </c>
      <c r="L2995" s="1479"/>
      <c r="M2995" s="851">
        <v>0</v>
      </c>
      <c r="N2995" s="1479">
        <v>1.9811919094067763</v>
      </c>
      <c r="O2995" s="1479"/>
    </row>
    <row r="2996" spans="11:15">
      <c r="K2996" s="1475">
        <v>45053</v>
      </c>
      <c r="L2996" s="1479"/>
      <c r="M2996" s="851">
        <v>0</v>
      </c>
      <c r="N2996" s="1479">
        <v>1.9811919094067763</v>
      </c>
      <c r="O2996" s="1479"/>
    </row>
    <row r="2997" spans="11:15">
      <c r="K2997" s="1475">
        <v>45054</v>
      </c>
      <c r="L2997" s="1479" t="s">
        <v>2127</v>
      </c>
      <c r="M2997" s="851">
        <v>5.0788E-2</v>
      </c>
      <c r="N2997" s="1479">
        <v>1.9821981171537257</v>
      </c>
      <c r="O2997" s="1479"/>
    </row>
    <row r="2998" spans="11:15">
      <c r="K2998" s="1475">
        <v>45055</v>
      </c>
      <c r="L2998" s="1479" t="s">
        <v>2127</v>
      </c>
      <c r="M2998" s="851">
        <v>5.0788E-2</v>
      </c>
      <c r="N2998" s="1479">
        <v>1.9832048359334657</v>
      </c>
      <c r="O2998" s="1479"/>
    </row>
    <row r="2999" spans="11:15">
      <c r="K2999" s="1475">
        <v>45056</v>
      </c>
      <c r="L2999" s="1479" t="s">
        <v>2127</v>
      </c>
      <c r="M2999" s="851">
        <v>5.0788E-2</v>
      </c>
      <c r="N2999" s="1479">
        <v>1.9842120660055396</v>
      </c>
      <c r="O2999" s="1479"/>
    </row>
    <row r="3000" spans="11:15">
      <c r="K3000" s="1475">
        <v>45057</v>
      </c>
      <c r="L3000" s="1479" t="s">
        <v>2127</v>
      </c>
      <c r="M3000" s="851">
        <v>5.0788E-2</v>
      </c>
      <c r="N3000" s="1479">
        <v>1.9852198076296226</v>
      </c>
      <c r="O3000" s="1479"/>
    </row>
    <row r="3001" spans="11:15">
      <c r="K3001" s="1475">
        <v>45058</v>
      </c>
      <c r="L3001" s="1479" t="s">
        <v>2127</v>
      </c>
      <c r="M3001" s="851">
        <v>5.0788E-2</v>
      </c>
      <c r="N3001" s="1479">
        <v>1.9862280610655216</v>
      </c>
      <c r="O3001" s="1479"/>
    </row>
    <row r="3002" spans="11:15">
      <c r="K3002" s="1475">
        <v>45059</v>
      </c>
      <c r="L3002" s="1479"/>
      <c r="M3002" s="851">
        <v>0</v>
      </c>
      <c r="N3002" s="1479">
        <v>1.9862280610655216</v>
      </c>
      <c r="O3002" s="1479"/>
    </row>
    <row r="3003" spans="11:15">
      <c r="K3003" s="1475">
        <v>45060</v>
      </c>
      <c r="L3003" s="1479"/>
      <c r="M3003" s="851">
        <v>0</v>
      </c>
      <c r="N3003" s="1479">
        <v>1.9862280610655216</v>
      </c>
      <c r="O3003" s="1479"/>
    </row>
    <row r="3004" spans="11:15">
      <c r="K3004" s="1475">
        <v>45061</v>
      </c>
      <c r="L3004" s="1479" t="s">
        <v>2127</v>
      </c>
      <c r="M3004" s="851">
        <v>5.0788E-2</v>
      </c>
      <c r="N3004" s="1479">
        <v>1.9872368265731757</v>
      </c>
      <c r="O3004" s="1479"/>
    </row>
    <row r="3005" spans="11:15">
      <c r="K3005" s="1475">
        <v>45062</v>
      </c>
      <c r="L3005" s="1479" t="s">
        <v>2127</v>
      </c>
      <c r="M3005" s="851">
        <v>5.0788E-2</v>
      </c>
      <c r="N3005" s="1479">
        <v>1.9882461044126558</v>
      </c>
      <c r="O3005" s="1479"/>
    </row>
    <row r="3006" spans="11:15">
      <c r="K3006" s="1475">
        <v>45063</v>
      </c>
      <c r="L3006" s="1479" t="s">
        <v>2127</v>
      </c>
      <c r="M3006" s="851">
        <v>5.0788E-2</v>
      </c>
      <c r="N3006" s="1479">
        <v>1.989255894844165</v>
      </c>
      <c r="O3006" s="1479"/>
    </row>
    <row r="3007" spans="11:15">
      <c r="K3007" s="1475">
        <v>45064</v>
      </c>
      <c r="L3007" s="1479" t="s">
        <v>2127</v>
      </c>
      <c r="M3007" s="851">
        <v>5.0788E-2</v>
      </c>
      <c r="N3007" s="1479">
        <v>1.9902661981280385</v>
      </c>
      <c r="O3007" s="1479"/>
    </row>
    <row r="3008" spans="11:15">
      <c r="K3008" s="1475">
        <v>45065</v>
      </c>
      <c r="L3008" s="1479" t="s">
        <v>2127</v>
      </c>
      <c r="M3008" s="851">
        <v>5.0788E-2</v>
      </c>
      <c r="N3008" s="1479">
        <v>1.9912770145247438</v>
      </c>
      <c r="O3008" s="1479"/>
    </row>
    <row r="3009" spans="11:15">
      <c r="K3009" s="1475">
        <v>45066</v>
      </c>
      <c r="L3009" s="1479"/>
      <c r="M3009" s="851">
        <v>0</v>
      </c>
      <c r="N3009" s="1479">
        <v>1.9912770145247438</v>
      </c>
      <c r="O3009" s="1479"/>
    </row>
    <row r="3010" spans="11:15">
      <c r="K3010" s="1475">
        <v>45067</v>
      </c>
      <c r="L3010" s="1479"/>
      <c r="M3010" s="851">
        <v>0</v>
      </c>
      <c r="N3010" s="1479">
        <v>1.9912770145247438</v>
      </c>
      <c r="O3010" s="1479"/>
    </row>
    <row r="3011" spans="11:15">
      <c r="K3011" s="1475">
        <v>45068</v>
      </c>
      <c r="L3011" s="1479" t="s">
        <v>2127</v>
      </c>
      <c r="M3011" s="851">
        <v>5.0788E-2</v>
      </c>
      <c r="N3011" s="1479">
        <v>1.9922883442948807</v>
      </c>
      <c r="O3011" s="1479"/>
    </row>
    <row r="3012" spans="11:15">
      <c r="K3012" s="1475">
        <v>45069</v>
      </c>
      <c r="L3012" s="1479" t="s">
        <v>2127</v>
      </c>
      <c r="M3012" s="851">
        <v>5.0788E-2</v>
      </c>
      <c r="N3012" s="1479">
        <v>1.9933001876991812</v>
      </c>
      <c r="O3012" s="1479"/>
    </row>
    <row r="3013" spans="11:15">
      <c r="K3013" s="1475">
        <v>45070</v>
      </c>
      <c r="L3013" s="1479" t="s">
        <v>2127</v>
      </c>
      <c r="M3013" s="851">
        <v>5.0788E-2</v>
      </c>
      <c r="N3013" s="1479">
        <v>1.9943125449985097</v>
      </c>
      <c r="O3013" s="1479"/>
    </row>
    <row r="3014" spans="11:15">
      <c r="K3014" s="1475">
        <v>45071</v>
      </c>
      <c r="L3014" s="1479" t="s">
        <v>2127</v>
      </c>
      <c r="M3014" s="851">
        <v>5.0788E-2</v>
      </c>
      <c r="N3014" s="1479">
        <v>1.9953254164538636</v>
      </c>
      <c r="O3014" s="1479"/>
    </row>
    <row r="3015" spans="11:15">
      <c r="K3015" s="1475">
        <v>45072</v>
      </c>
      <c r="L3015" s="1479" t="s">
        <v>2127</v>
      </c>
      <c r="M3015" s="851">
        <v>5.0788E-2</v>
      </c>
      <c r="N3015" s="1479">
        <v>1.9963388023263722</v>
      </c>
      <c r="O3015" s="1479"/>
    </row>
    <row r="3016" spans="11:15">
      <c r="K3016" s="1475">
        <v>45073</v>
      </c>
      <c r="L3016" s="1479"/>
      <c r="M3016" s="851">
        <v>0</v>
      </c>
      <c r="N3016" s="1479">
        <v>1.9963388023263722</v>
      </c>
      <c r="O3016" s="1479"/>
    </row>
    <row r="3017" spans="11:15">
      <c r="K3017" s="1475">
        <v>45074</v>
      </c>
      <c r="L3017" s="1479"/>
      <c r="M3017" s="851">
        <v>0</v>
      </c>
      <c r="N3017" s="1479">
        <v>1.9963388023263722</v>
      </c>
      <c r="O3017" s="1479"/>
    </row>
    <row r="3018" spans="11:15">
      <c r="K3018" s="1475">
        <v>45075</v>
      </c>
      <c r="L3018" s="1479" t="s">
        <v>2127</v>
      </c>
      <c r="M3018" s="851">
        <v>5.0788E-2</v>
      </c>
      <c r="N3018" s="1479">
        <v>1.9973527028772977</v>
      </c>
      <c r="O3018" s="1479"/>
    </row>
    <row r="3019" spans="11:15">
      <c r="K3019" s="1475">
        <v>45076</v>
      </c>
      <c r="L3019" s="1479" t="s">
        <v>2127</v>
      </c>
      <c r="M3019" s="851">
        <v>5.0788E-2</v>
      </c>
      <c r="N3019" s="1479">
        <v>1.9983671183680352</v>
      </c>
      <c r="O3019" s="1479"/>
    </row>
    <row r="3020" spans="11:15">
      <c r="K3020" s="1475">
        <v>45077</v>
      </c>
      <c r="L3020" s="1479" t="s">
        <v>2127</v>
      </c>
      <c r="M3020" s="851">
        <v>5.0788E-2</v>
      </c>
      <c r="N3020" s="1479">
        <v>1.999382049060112</v>
      </c>
      <c r="O3020" s="1479"/>
    </row>
    <row r="3021" spans="11:15">
      <c r="K3021" s="1475">
        <v>45078</v>
      </c>
      <c r="L3021" s="1479" t="s">
        <v>2127</v>
      </c>
      <c r="M3021" s="851">
        <v>5.0788E-2</v>
      </c>
      <c r="N3021" s="1479">
        <v>2.0003974952151888</v>
      </c>
      <c r="O3021" s="1479"/>
    </row>
    <row r="3022" spans="11:15">
      <c r="K3022" s="1475">
        <v>45079</v>
      </c>
      <c r="L3022" s="1479" t="s">
        <v>2127</v>
      </c>
      <c r="M3022" s="851">
        <v>5.0788E-2</v>
      </c>
      <c r="N3022" s="1479">
        <v>2.0014134570950586</v>
      </c>
      <c r="O3022" s="1479"/>
    </row>
    <row r="3023" spans="11:15">
      <c r="K3023" s="1475">
        <v>45080</v>
      </c>
      <c r="L3023" s="1479"/>
      <c r="M3023" s="851">
        <v>0</v>
      </c>
      <c r="N3023" s="1479">
        <v>2.0014134570950586</v>
      </c>
      <c r="O3023" s="1479"/>
    </row>
    <row r="3024" spans="11:15">
      <c r="K3024" s="1475">
        <v>45081</v>
      </c>
      <c r="L3024" s="1479"/>
      <c r="M3024" s="851">
        <v>0</v>
      </c>
      <c r="N3024" s="1479">
        <v>2.0014134570950586</v>
      </c>
      <c r="O3024" s="1479"/>
    </row>
    <row r="3025" spans="11:15">
      <c r="K3025" s="1475">
        <v>45082</v>
      </c>
      <c r="L3025" s="1479" t="s">
        <v>2127</v>
      </c>
      <c r="M3025" s="851">
        <v>5.0788E-2</v>
      </c>
      <c r="N3025" s="1479">
        <v>2.0024299349616479</v>
      </c>
      <c r="O3025" s="1479"/>
    </row>
    <row r="3026" spans="11:15">
      <c r="K3026" s="1475">
        <v>45083</v>
      </c>
      <c r="L3026" s="1479" t="s">
        <v>2127</v>
      </c>
      <c r="M3026" s="851">
        <v>5.0788E-2</v>
      </c>
      <c r="N3026" s="1479">
        <v>2.003446929077016</v>
      </c>
      <c r="O3026" s="1479"/>
    </row>
    <row r="3027" spans="11:15">
      <c r="K3027" s="1475">
        <v>45084</v>
      </c>
      <c r="L3027" s="1479" t="s">
        <v>2127</v>
      </c>
      <c r="M3027" s="851">
        <v>5.0788E-2</v>
      </c>
      <c r="N3027" s="1479">
        <v>2.0044644397033555</v>
      </c>
      <c r="O3027" s="1479"/>
    </row>
    <row r="3028" spans="11:15">
      <c r="K3028" s="1475">
        <v>45085</v>
      </c>
      <c r="L3028" s="1479"/>
      <c r="M3028" s="851">
        <v>0</v>
      </c>
      <c r="N3028" s="1479">
        <v>2.0044644397033555</v>
      </c>
      <c r="O3028" s="1479"/>
    </row>
    <row r="3029" spans="11:15">
      <c r="K3029" s="1475">
        <v>45086</v>
      </c>
      <c r="L3029" s="1479" t="s">
        <v>2127</v>
      </c>
      <c r="M3029" s="851">
        <v>5.0788E-2</v>
      </c>
      <c r="N3029" s="1479">
        <v>2.0054824671029921</v>
      </c>
      <c r="O3029" s="1479"/>
    </row>
    <row r="3030" spans="11:15">
      <c r="K3030" s="1475">
        <v>45087</v>
      </c>
      <c r="L3030" s="1479"/>
      <c r="M3030" s="851">
        <v>0</v>
      </c>
      <c r="N3030" s="1479">
        <v>2.0054824671029921</v>
      </c>
      <c r="O3030" s="1479"/>
    </row>
    <row r="3031" spans="11:15">
      <c r="K3031" s="1475">
        <v>45088</v>
      </c>
      <c r="L3031" s="1479"/>
      <c r="M3031" s="851">
        <v>0</v>
      </c>
      <c r="N3031" s="1479">
        <v>2.0054824671029921</v>
      </c>
      <c r="O3031" s="1479"/>
    </row>
    <row r="3032" spans="11:15">
      <c r="K3032" s="1475">
        <v>45089</v>
      </c>
      <c r="L3032" s="1479" t="s">
        <v>2127</v>
      </c>
      <c r="M3032" s="851">
        <v>5.0788E-2</v>
      </c>
      <c r="N3032" s="1479">
        <v>2.0065010115383846</v>
      </c>
      <c r="O3032" s="1479"/>
    </row>
    <row r="3033" spans="11:15">
      <c r="K3033" s="1475">
        <v>45090</v>
      </c>
      <c r="L3033" s="1479" t="s">
        <v>2127</v>
      </c>
      <c r="M3033" s="851">
        <v>5.0788E-2</v>
      </c>
      <c r="N3033" s="1479">
        <v>2.0075200732721248</v>
      </c>
      <c r="O3033" s="1479"/>
    </row>
    <row r="3034" spans="11:15">
      <c r="K3034" s="1475">
        <v>45091</v>
      </c>
      <c r="L3034" s="1479" t="s">
        <v>2127</v>
      </c>
      <c r="M3034" s="851">
        <v>5.0788E-2</v>
      </c>
      <c r="N3034" s="1479">
        <v>2.0085396525669381</v>
      </c>
      <c r="O3034" s="1479"/>
    </row>
    <row r="3035" spans="11:15">
      <c r="K3035" s="1475">
        <v>45092</v>
      </c>
      <c r="L3035" s="1479" t="s">
        <v>2127</v>
      </c>
      <c r="M3035" s="851">
        <v>5.0788E-2</v>
      </c>
      <c r="N3035" s="1479">
        <v>2.0095597496856836</v>
      </c>
      <c r="O3035" s="1479"/>
    </row>
    <row r="3036" spans="11:15">
      <c r="K3036" s="1475">
        <v>45093</v>
      </c>
      <c r="L3036" s="1479" t="s">
        <v>2127</v>
      </c>
      <c r="M3036" s="851">
        <v>5.0788E-2</v>
      </c>
      <c r="N3036" s="1479">
        <v>2.0105803648913541</v>
      </c>
      <c r="O3036" s="1479"/>
    </row>
    <row r="3037" spans="11:15">
      <c r="K3037" s="1475">
        <v>45094</v>
      </c>
      <c r="L3037" s="1479"/>
      <c r="M3037" s="851">
        <v>0</v>
      </c>
      <c r="N3037" s="1479">
        <v>2.0105803648913541</v>
      </c>
      <c r="O3037" s="1479"/>
    </row>
    <row r="3038" spans="11:15">
      <c r="K3038" s="1475">
        <v>45095</v>
      </c>
      <c r="L3038" s="1479"/>
      <c r="M3038" s="851">
        <v>0</v>
      </c>
      <c r="N3038" s="1479">
        <v>2.0105803648913541</v>
      </c>
      <c r="O3038" s="1479"/>
    </row>
    <row r="3039" spans="11:15">
      <c r="K3039" s="1475">
        <v>45096</v>
      </c>
      <c r="L3039" s="1479" t="s">
        <v>2127</v>
      </c>
      <c r="M3039" s="851">
        <v>5.0788E-2</v>
      </c>
      <c r="N3039" s="1479">
        <v>2.0116014984470749</v>
      </c>
      <c r="O3039" s="1479"/>
    </row>
    <row r="3040" spans="11:15">
      <c r="K3040" s="1475">
        <v>45097</v>
      </c>
      <c r="L3040" s="1479" t="s">
        <v>2127</v>
      </c>
      <c r="M3040" s="851">
        <v>5.0788E-2</v>
      </c>
      <c r="N3040" s="1479">
        <v>2.0126231506161063</v>
      </c>
      <c r="O3040" s="1479"/>
    </row>
    <row r="3041" spans="11:15">
      <c r="K3041" s="1475">
        <v>45098</v>
      </c>
      <c r="L3041" s="1479" t="s">
        <v>2127</v>
      </c>
      <c r="M3041" s="851">
        <v>5.0788E-2</v>
      </c>
      <c r="N3041" s="1479">
        <v>2.0136453216618411</v>
      </c>
      <c r="O3041" s="1479"/>
    </row>
    <row r="3042" spans="11:15">
      <c r="K3042" s="1475">
        <v>45099</v>
      </c>
      <c r="L3042" s="1479" t="s">
        <v>2127</v>
      </c>
      <c r="M3042" s="851">
        <v>5.0788E-2</v>
      </c>
      <c r="N3042" s="1479">
        <v>2.0146680118478066</v>
      </c>
      <c r="O3042" s="1479"/>
    </row>
    <row r="3043" spans="11:15">
      <c r="K3043" s="1475">
        <v>45100</v>
      </c>
      <c r="L3043" s="1479" t="s">
        <v>2127</v>
      </c>
      <c r="M3043" s="851">
        <v>5.0788E-2</v>
      </c>
      <c r="N3043" s="1479">
        <v>2.0156912214376641</v>
      </c>
      <c r="O3043" s="1479"/>
    </row>
    <row r="3044" spans="11:15">
      <c r="K3044" s="1475">
        <v>45101</v>
      </c>
      <c r="L3044" s="1479"/>
      <c r="M3044" s="851">
        <v>0</v>
      </c>
      <c r="N3044" s="1479">
        <v>2.0156912214376641</v>
      </c>
      <c r="O3044" s="1479"/>
    </row>
    <row r="3045" spans="11:15">
      <c r="K3045" s="1475">
        <v>45102</v>
      </c>
      <c r="L3045" s="1479"/>
      <c r="M3045" s="851">
        <v>0</v>
      </c>
      <c r="N3045" s="1479">
        <v>2.0156912214376641</v>
      </c>
      <c r="O3045" s="1479"/>
    </row>
    <row r="3046" spans="11:15">
      <c r="K3046" s="1475">
        <v>45103</v>
      </c>
      <c r="L3046" s="1479" t="s">
        <v>2127</v>
      </c>
      <c r="M3046" s="851">
        <v>5.0788E-2</v>
      </c>
      <c r="N3046" s="1479">
        <v>2.0167149506952078</v>
      </c>
      <c r="O3046" s="1479"/>
    </row>
    <row r="3047" spans="11:15">
      <c r="K3047" s="1475">
        <v>45104</v>
      </c>
      <c r="L3047" s="1479" t="s">
        <v>2127</v>
      </c>
      <c r="M3047" s="851">
        <v>5.0788E-2</v>
      </c>
      <c r="N3047" s="1479">
        <v>2.017739199884367</v>
      </c>
      <c r="O3047" s="1479"/>
    </row>
    <row r="3048" spans="11:15">
      <c r="K3048" s="1475">
        <v>45105</v>
      </c>
      <c r="L3048" s="1479" t="s">
        <v>2127</v>
      </c>
      <c r="M3048" s="851">
        <v>5.0788E-2</v>
      </c>
      <c r="N3048" s="1479">
        <v>2.0187639692692043</v>
      </c>
      <c r="O3048" s="1479"/>
    </row>
    <row r="3049" spans="11:15">
      <c r="K3049" s="1475">
        <v>45106</v>
      </c>
      <c r="L3049" s="1479" t="s">
        <v>2127</v>
      </c>
      <c r="M3049" s="851">
        <v>5.0788E-2</v>
      </c>
      <c r="N3049" s="1479">
        <v>2.0197892591139168</v>
      </c>
      <c r="O3049" s="1479"/>
    </row>
    <row r="3050" spans="11:15">
      <c r="K3050" s="1475">
        <v>45107</v>
      </c>
      <c r="L3050" s="1479" t="s">
        <v>2127</v>
      </c>
      <c r="M3050" s="851">
        <v>5.0788E-2</v>
      </c>
      <c r="N3050" s="1479">
        <v>2.0208150696828358</v>
      </c>
      <c r="O3050" s="1479"/>
    </row>
    <row r="3051" spans="11:15">
      <c r="K3051" s="1475">
        <v>45108</v>
      </c>
      <c r="L3051" s="1479"/>
      <c r="M3051" s="851">
        <v>0</v>
      </c>
      <c r="N3051" s="1479">
        <v>2.0208150696828358</v>
      </c>
      <c r="O3051" s="1479"/>
    </row>
    <row r="3052" spans="11:15">
      <c r="K3052" s="1475">
        <v>45109</v>
      </c>
      <c r="L3052" s="1479"/>
      <c r="M3052" s="851">
        <v>0</v>
      </c>
      <c r="N3052" s="1479">
        <v>2.0208150696828358</v>
      </c>
      <c r="O3052" s="1479"/>
    </row>
    <row r="3053" spans="11:15">
      <c r="K3053" s="1475">
        <v>45110</v>
      </c>
      <c r="L3053" s="1479" t="s">
        <v>2127</v>
      </c>
      <c r="M3053" s="851">
        <v>5.0788E-2</v>
      </c>
      <c r="N3053" s="1479">
        <v>2.0218414012404264</v>
      </c>
      <c r="O3053" s="1479"/>
    </row>
    <row r="3054" spans="11:15">
      <c r="K3054" s="1475">
        <v>45111</v>
      </c>
      <c r="L3054" s="1479" t="s">
        <v>2127</v>
      </c>
      <c r="M3054" s="851">
        <v>5.0788E-2</v>
      </c>
      <c r="N3054" s="1479">
        <v>2.0228682540512883</v>
      </c>
      <c r="O3054" s="1479"/>
    </row>
    <row r="3055" spans="11:15">
      <c r="K3055" s="1475">
        <v>45112</v>
      </c>
      <c r="L3055" s="1479" t="s">
        <v>2127</v>
      </c>
      <c r="M3055" s="851">
        <v>5.0788E-2</v>
      </c>
      <c r="N3055" s="1479">
        <v>2.0238956283801559</v>
      </c>
      <c r="O3055" s="1479"/>
    </row>
    <row r="3056" spans="11:15">
      <c r="K3056" s="1475">
        <v>45113</v>
      </c>
      <c r="L3056" s="1479" t="s">
        <v>2127</v>
      </c>
      <c r="M3056" s="851">
        <v>5.0788E-2</v>
      </c>
      <c r="N3056" s="1479">
        <v>2.0249235244918977</v>
      </c>
      <c r="O3056" s="1479"/>
    </row>
    <row r="3057" spans="11:15">
      <c r="K3057" s="1475">
        <v>45114</v>
      </c>
      <c r="L3057" s="1479" t="s">
        <v>2127</v>
      </c>
      <c r="M3057" s="851">
        <v>5.0788E-2</v>
      </c>
      <c r="N3057" s="1479">
        <v>2.0259519426515169</v>
      </c>
      <c r="O3057" s="1479"/>
    </row>
    <row r="3058" spans="11:15">
      <c r="K3058" s="1475">
        <v>45115</v>
      </c>
      <c r="L3058" s="1479"/>
      <c r="M3058" s="851">
        <v>0</v>
      </c>
      <c r="N3058" s="1479">
        <v>2.0259519426515169</v>
      </c>
      <c r="O3058" s="1479"/>
    </row>
    <row r="3059" spans="11:15">
      <c r="K3059" s="1475">
        <v>45116</v>
      </c>
      <c r="L3059" s="1479"/>
      <c r="M3059" s="851">
        <v>0</v>
      </c>
      <c r="N3059" s="1479">
        <v>2.0259519426515169</v>
      </c>
      <c r="O3059" s="1479"/>
    </row>
    <row r="3060" spans="11:15">
      <c r="K3060" s="1475">
        <v>45117</v>
      </c>
      <c r="L3060" s="1479" t="s">
        <v>2127</v>
      </c>
      <c r="M3060" s="851">
        <v>5.0788E-2</v>
      </c>
      <c r="N3060" s="1479">
        <v>2.0269808831241507</v>
      </c>
      <c r="O3060" s="1479"/>
    </row>
    <row r="3061" spans="11:15">
      <c r="K3061" s="1475">
        <v>45118</v>
      </c>
      <c r="L3061" s="1479" t="s">
        <v>2127</v>
      </c>
      <c r="M3061" s="851">
        <v>5.0788E-2</v>
      </c>
      <c r="N3061" s="1479">
        <v>2.0280103461750718</v>
      </c>
      <c r="O3061" s="1479"/>
    </row>
    <row r="3062" spans="11:15">
      <c r="K3062" s="1475">
        <v>45119</v>
      </c>
      <c r="L3062" s="1479" t="s">
        <v>2127</v>
      </c>
      <c r="M3062" s="851">
        <v>5.0788E-2</v>
      </c>
      <c r="N3062" s="1479">
        <v>2.029040332069687</v>
      </c>
      <c r="O3062" s="1479"/>
    </row>
    <row r="3063" spans="11:15">
      <c r="K3063" s="1475">
        <v>45120</v>
      </c>
      <c r="L3063" s="1479" t="s">
        <v>2127</v>
      </c>
      <c r="M3063" s="851">
        <v>5.0788E-2</v>
      </c>
      <c r="N3063" s="1479">
        <v>2.0300708410735386</v>
      </c>
      <c r="O3063" s="1479"/>
    </row>
    <row r="3064" spans="11:15">
      <c r="K3064" s="1475">
        <v>45121</v>
      </c>
      <c r="L3064" s="1479" t="s">
        <v>2127</v>
      </c>
      <c r="M3064" s="851">
        <v>5.0788E-2</v>
      </c>
      <c r="N3064" s="1479">
        <v>2.031101873452303</v>
      </c>
      <c r="O3064" s="1479"/>
    </row>
    <row r="3065" spans="11:15">
      <c r="K3065" s="1475">
        <v>45122</v>
      </c>
      <c r="L3065" s="1479"/>
      <c r="M3065" s="851">
        <v>0</v>
      </c>
      <c r="N3065" s="1479">
        <v>2.031101873452303</v>
      </c>
      <c r="O3065" s="1479"/>
    </row>
    <row r="3066" spans="11:15">
      <c r="K3066" s="1475">
        <v>45123</v>
      </c>
      <c r="L3066" s="1479"/>
      <c r="M3066" s="851">
        <v>0</v>
      </c>
      <c r="N3066" s="1479">
        <v>2.031101873452303</v>
      </c>
      <c r="O3066" s="1479"/>
    </row>
    <row r="3067" spans="11:15">
      <c r="K3067" s="1475">
        <v>45124</v>
      </c>
      <c r="L3067" s="1479" t="s">
        <v>2127</v>
      </c>
      <c r="M3067" s="851">
        <v>5.0788E-2</v>
      </c>
      <c r="N3067" s="1479">
        <v>2.0321334294717919</v>
      </c>
      <c r="O3067" s="1479"/>
    </row>
    <row r="3068" spans="11:15">
      <c r="K3068" s="1475">
        <v>45125</v>
      </c>
      <c r="L3068" s="1479" t="s">
        <v>2127</v>
      </c>
      <c r="M3068" s="851">
        <v>5.0788E-2</v>
      </c>
      <c r="N3068" s="1479">
        <v>2.0331655093979522</v>
      </c>
      <c r="O3068" s="1479"/>
    </row>
    <row r="3069" spans="11:15">
      <c r="K3069" s="1475">
        <v>45126</v>
      </c>
      <c r="L3069" s="1479" t="s">
        <v>2127</v>
      </c>
      <c r="M3069" s="851">
        <v>5.0788E-2</v>
      </c>
      <c r="N3069" s="1479">
        <v>2.0341981134968652</v>
      </c>
      <c r="O3069" s="1479"/>
    </row>
    <row r="3070" spans="11:15">
      <c r="K3070" s="1475">
        <v>45127</v>
      </c>
      <c r="L3070" s="1479" t="s">
        <v>2127</v>
      </c>
      <c r="M3070" s="851">
        <v>5.0788E-2</v>
      </c>
      <c r="N3070" s="1479">
        <v>2.0352312420347478</v>
      </c>
      <c r="O3070" s="1479"/>
    </row>
    <row r="3071" spans="11:15">
      <c r="K3071" s="1475">
        <v>45128</v>
      </c>
      <c r="L3071" s="1479" t="s">
        <v>2127</v>
      </c>
      <c r="M3071" s="851">
        <v>5.0788E-2</v>
      </c>
      <c r="N3071" s="1479">
        <v>2.0362648952779523</v>
      </c>
      <c r="O3071" s="1479"/>
    </row>
    <row r="3072" spans="11:15">
      <c r="K3072" s="1475">
        <v>45129</v>
      </c>
      <c r="L3072" s="1479"/>
      <c r="M3072" s="851">
        <v>0</v>
      </c>
      <c r="N3072" s="1479">
        <v>2.0362648952779523</v>
      </c>
      <c r="O3072" s="1479"/>
    </row>
    <row r="3073" spans="11:15">
      <c r="K3073" s="1475">
        <v>45130</v>
      </c>
      <c r="L3073" s="1479"/>
      <c r="M3073" s="851">
        <v>0</v>
      </c>
      <c r="N3073" s="1479">
        <v>2.0362648952779523</v>
      </c>
      <c r="O3073" s="1479"/>
    </row>
    <row r="3074" spans="11:15">
      <c r="K3074" s="1475">
        <v>45131</v>
      </c>
      <c r="L3074" s="1479" t="s">
        <v>2127</v>
      </c>
      <c r="M3074" s="851">
        <v>5.0788E-2</v>
      </c>
      <c r="N3074" s="1479">
        <v>2.0372990734929659</v>
      </c>
      <c r="O3074" s="1479"/>
    </row>
    <row r="3075" spans="11:15">
      <c r="K3075" s="1475">
        <v>45132</v>
      </c>
      <c r="L3075" s="1479" t="s">
        <v>2127</v>
      </c>
      <c r="M3075" s="851">
        <v>5.0788E-2</v>
      </c>
      <c r="N3075" s="1479">
        <v>2.0383337769464114</v>
      </c>
      <c r="O3075" s="1479"/>
    </row>
    <row r="3076" spans="11:15">
      <c r="K3076" s="1475">
        <v>45133</v>
      </c>
      <c r="L3076" s="1479" t="s">
        <v>2127</v>
      </c>
      <c r="M3076" s="851">
        <v>5.0788E-2</v>
      </c>
      <c r="N3076" s="1479">
        <v>2.0393690059050469</v>
      </c>
      <c r="O3076" s="1479"/>
    </row>
    <row r="3077" spans="11:15">
      <c r="K3077" s="1475">
        <v>45134</v>
      </c>
      <c r="L3077" s="1479" t="s">
        <v>2127</v>
      </c>
      <c r="M3077" s="851">
        <v>5.0788E-2</v>
      </c>
      <c r="N3077" s="1479">
        <v>2.040404760635766</v>
      </c>
      <c r="O3077" s="1479"/>
    </row>
    <row r="3078" spans="11:15">
      <c r="K3078" s="1475">
        <v>45135</v>
      </c>
      <c r="L3078" s="1479" t="s">
        <v>2127</v>
      </c>
      <c r="M3078" s="851">
        <v>5.0788E-2</v>
      </c>
      <c r="N3078" s="1479">
        <v>2.0414410414055979</v>
      </c>
      <c r="O3078" s="1479"/>
    </row>
    <row r="3079" spans="11:15">
      <c r="K3079" s="1475">
        <v>45136</v>
      </c>
      <c r="L3079" s="1479"/>
      <c r="M3079" s="851">
        <v>0</v>
      </c>
      <c r="N3079" s="1479">
        <v>2.0414410414055979</v>
      </c>
      <c r="O3079" s="1479"/>
    </row>
    <row r="3080" spans="11:15">
      <c r="K3080" s="1475">
        <v>45137</v>
      </c>
      <c r="L3080" s="1479"/>
      <c r="M3080" s="851">
        <v>0</v>
      </c>
      <c r="N3080" s="1479">
        <v>2.0414410414055979</v>
      </c>
      <c r="O3080" s="1479"/>
    </row>
    <row r="3081" spans="11:15">
      <c r="K3081" s="1475">
        <v>45138</v>
      </c>
      <c r="L3081" s="1479" t="s">
        <v>2127</v>
      </c>
      <c r="M3081" s="851">
        <v>5.0788E-2</v>
      </c>
      <c r="N3081" s="1479">
        <v>2.042477848481707</v>
      </c>
      <c r="O3081" s="1479"/>
    </row>
    <row r="3082" spans="11:15">
      <c r="K3082" s="1475">
        <v>45139</v>
      </c>
      <c r="L3082" s="1479" t="s">
        <v>2127</v>
      </c>
      <c r="M3082" s="851">
        <v>5.0788E-2</v>
      </c>
      <c r="N3082" s="1479">
        <v>2.0435151821313937</v>
      </c>
      <c r="O3082" s="1479"/>
    </row>
    <row r="3083" spans="11:15">
      <c r="K3083" s="1475">
        <v>45140</v>
      </c>
      <c r="L3083" s="1479" t="s">
        <v>2127</v>
      </c>
      <c r="M3083" s="851">
        <v>5.0788E-2</v>
      </c>
      <c r="N3083" s="1479">
        <v>2.0445530426220948</v>
      </c>
      <c r="O3083" s="1479"/>
    </row>
    <row r="3084" spans="11:15">
      <c r="K3084" s="1475">
        <v>45141</v>
      </c>
      <c r="L3084" s="1479" t="s">
        <v>2127</v>
      </c>
      <c r="M3084" s="851">
        <v>5.0788E-2</v>
      </c>
      <c r="N3084" s="1479">
        <v>2.0455914302213816</v>
      </c>
      <c r="O3084" s="1479"/>
    </row>
    <row r="3085" spans="11:15">
      <c r="K3085" s="1475">
        <v>45142</v>
      </c>
      <c r="L3085" s="1479" t="s">
        <v>2127</v>
      </c>
      <c r="M3085" s="851">
        <v>5.0788E-2</v>
      </c>
      <c r="N3085" s="1479">
        <v>2.0466303451969625</v>
      </c>
      <c r="O3085" s="1479"/>
    </row>
    <row r="3086" spans="11:15">
      <c r="K3086" s="1475">
        <v>45143</v>
      </c>
      <c r="L3086" s="1479"/>
      <c r="M3086" s="851">
        <v>0</v>
      </c>
      <c r="N3086" s="1479">
        <v>2.0466303451969625</v>
      </c>
      <c r="O3086" s="1479"/>
    </row>
    <row r="3087" spans="11:15">
      <c r="K3087" s="1475">
        <v>45144</v>
      </c>
      <c r="L3087" s="1479"/>
      <c r="M3087" s="851">
        <v>0</v>
      </c>
      <c r="N3087" s="1479">
        <v>2.0466303451969625</v>
      </c>
      <c r="O3087" s="1479"/>
    </row>
    <row r="3088" spans="11:15">
      <c r="K3088" s="1475">
        <v>45145</v>
      </c>
      <c r="L3088" s="1479" t="s">
        <v>2127</v>
      </c>
      <c r="M3088" s="851">
        <v>5.0788E-2</v>
      </c>
      <c r="N3088" s="1479">
        <v>2.0476697878166812</v>
      </c>
      <c r="O3088" s="1479"/>
    </row>
    <row r="3089" spans="11:15">
      <c r="K3089" s="1475">
        <v>45146</v>
      </c>
      <c r="L3089" s="1479" t="s">
        <v>2127</v>
      </c>
      <c r="M3089" s="851">
        <v>5.0788E-2</v>
      </c>
      <c r="N3089" s="1479">
        <v>2.0487097583485174</v>
      </c>
      <c r="O3089" s="1479"/>
    </row>
    <row r="3090" spans="11:15">
      <c r="K3090" s="1475">
        <v>45147</v>
      </c>
      <c r="L3090" s="1479" t="s">
        <v>2127</v>
      </c>
      <c r="M3090" s="851">
        <v>5.0788E-2</v>
      </c>
      <c r="N3090" s="1479">
        <v>2.0497502570605874</v>
      </c>
      <c r="O3090" s="1479"/>
    </row>
    <row r="3091" spans="11:15">
      <c r="K3091" s="1475">
        <v>45148</v>
      </c>
      <c r="L3091" s="1479" t="s">
        <v>2127</v>
      </c>
      <c r="M3091" s="851">
        <v>5.0788E-2</v>
      </c>
      <c r="N3091" s="1479">
        <v>2.0507912842211433</v>
      </c>
      <c r="O3091" s="1479"/>
    </row>
    <row r="3092" spans="11:15">
      <c r="K3092" s="1475">
        <v>45149</v>
      </c>
      <c r="L3092" s="1479" t="s">
        <v>2127</v>
      </c>
      <c r="M3092" s="851">
        <v>5.0788E-2</v>
      </c>
      <c r="N3092" s="1479">
        <v>2.0518328400985735</v>
      </c>
      <c r="O3092" s="1479"/>
    </row>
    <row r="3093" spans="11:15">
      <c r="K3093" s="1475">
        <v>45150</v>
      </c>
      <c r="L3093" s="1479"/>
      <c r="M3093" s="851">
        <v>0</v>
      </c>
      <c r="N3093" s="1479">
        <v>2.0518328400985735</v>
      </c>
      <c r="O3093" s="1479"/>
    </row>
    <row r="3094" spans="11:15">
      <c r="K3094" s="1475">
        <v>45151</v>
      </c>
      <c r="L3094" s="1479"/>
      <c r="M3094" s="851">
        <v>0</v>
      </c>
      <c r="N3094" s="1479">
        <v>2.0518328400985735</v>
      </c>
      <c r="O3094" s="1479"/>
    </row>
    <row r="3095" spans="11:15">
      <c r="K3095" s="1475">
        <v>45152</v>
      </c>
      <c r="L3095" s="1479" t="s">
        <v>2127</v>
      </c>
      <c r="M3095" s="851">
        <v>5.0788E-2</v>
      </c>
      <c r="N3095" s="1479">
        <v>2.0528749249614027</v>
      </c>
      <c r="O3095" s="1479"/>
    </row>
    <row r="3096" spans="11:15">
      <c r="K3096" s="1475">
        <v>45153</v>
      </c>
      <c r="L3096" s="1479" t="s">
        <v>2127</v>
      </c>
      <c r="M3096" s="851">
        <v>5.0788E-2</v>
      </c>
      <c r="N3096" s="1479">
        <v>2.053917539078292</v>
      </c>
      <c r="O3096" s="1479"/>
    </row>
    <row r="3097" spans="11:15">
      <c r="K3097" s="1475">
        <v>45154</v>
      </c>
      <c r="L3097" s="1479" t="s">
        <v>2127</v>
      </c>
      <c r="M3097" s="851">
        <v>5.0788E-2</v>
      </c>
      <c r="N3097" s="1479">
        <v>2.0549606827180393</v>
      </c>
      <c r="O3097" s="1479"/>
    </row>
    <row r="3098" spans="11:15">
      <c r="K3098" s="1475">
        <v>45155</v>
      </c>
      <c r="L3098" s="1479" t="s">
        <v>2127</v>
      </c>
      <c r="M3098" s="851">
        <v>5.0788E-2</v>
      </c>
      <c r="N3098" s="1479">
        <v>2.056004356149578</v>
      </c>
      <c r="O3098" s="1479"/>
    </row>
    <row r="3099" spans="11:15">
      <c r="K3099" s="1475">
        <v>45156</v>
      </c>
      <c r="L3099" s="1479" t="s">
        <v>2127</v>
      </c>
      <c r="M3099" s="851">
        <v>5.0788E-2</v>
      </c>
      <c r="N3099" s="1479">
        <v>2.0570485596419794</v>
      </c>
      <c r="O3099" s="1479"/>
    </row>
    <row r="3100" spans="11:15">
      <c r="K3100" s="1475">
        <v>45157</v>
      </c>
      <c r="L3100" s="1479"/>
      <c r="M3100" s="851">
        <v>0</v>
      </c>
      <c r="N3100" s="1479">
        <v>2.0570485596419794</v>
      </c>
      <c r="O3100" s="1479"/>
    </row>
    <row r="3101" spans="11:15">
      <c r="K3101" s="1475">
        <v>45158</v>
      </c>
      <c r="L3101" s="1479"/>
      <c r="M3101" s="851">
        <v>0</v>
      </c>
      <c r="N3101" s="1479">
        <v>2.0570485596419794</v>
      </c>
      <c r="O3101" s="1479"/>
    </row>
    <row r="3102" spans="11:15">
      <c r="K3102" s="1475">
        <v>45159</v>
      </c>
      <c r="L3102" s="1479" t="s">
        <v>2127</v>
      </c>
      <c r="M3102" s="851">
        <v>5.0788E-2</v>
      </c>
      <c r="N3102" s="1479">
        <v>2.0580932934644505</v>
      </c>
      <c r="O3102" s="1479"/>
    </row>
    <row r="3103" spans="11:15">
      <c r="K3103" s="1475">
        <v>45160</v>
      </c>
      <c r="L3103" s="1479" t="s">
        <v>2127</v>
      </c>
      <c r="M3103" s="851">
        <v>5.0788E-2</v>
      </c>
      <c r="N3103" s="1479">
        <v>2.0591385578863353</v>
      </c>
      <c r="O3103" s="1479"/>
    </row>
    <row r="3104" spans="11:15">
      <c r="K3104" s="1475">
        <v>45161</v>
      </c>
      <c r="L3104" s="1479" t="s">
        <v>2127</v>
      </c>
      <c r="M3104" s="851">
        <v>5.0788E-2</v>
      </c>
      <c r="N3104" s="1479">
        <v>2.0601843531771147</v>
      </c>
      <c r="O3104" s="1479"/>
    </row>
    <row r="3105" spans="11:15">
      <c r="K3105" s="1475">
        <v>45162</v>
      </c>
      <c r="L3105" s="1479" t="s">
        <v>2127</v>
      </c>
      <c r="M3105" s="851">
        <v>5.0788E-2</v>
      </c>
      <c r="N3105" s="1479">
        <v>2.0612306796064064</v>
      </c>
      <c r="O3105" s="1479"/>
    </row>
    <row r="3106" spans="11:15">
      <c r="K3106" s="1475">
        <v>45163</v>
      </c>
      <c r="L3106" s="1479" t="s">
        <v>2127</v>
      </c>
      <c r="M3106" s="851">
        <v>5.0788E-2</v>
      </c>
      <c r="N3106" s="1479">
        <v>2.0622775374439648</v>
      </c>
      <c r="O3106" s="1479"/>
    </row>
    <row r="3107" spans="11:15">
      <c r="K3107" s="1475">
        <v>45164</v>
      </c>
      <c r="L3107" s="1479"/>
      <c r="M3107" s="851">
        <v>0</v>
      </c>
      <c r="N3107" s="1479">
        <v>2.0622775374439648</v>
      </c>
      <c r="O3107" s="1479"/>
    </row>
    <row r="3108" spans="11:15">
      <c r="K3108" s="1475">
        <v>45165</v>
      </c>
      <c r="L3108" s="1479"/>
      <c r="M3108" s="851">
        <v>0</v>
      </c>
      <c r="N3108" s="1479">
        <v>2.0622775374439648</v>
      </c>
      <c r="O3108" s="1479"/>
    </row>
    <row r="3109" spans="11:15">
      <c r="K3109" s="1475">
        <v>45166</v>
      </c>
      <c r="L3109" s="1479" t="s">
        <v>2127</v>
      </c>
      <c r="M3109" s="851">
        <v>5.0788E-2</v>
      </c>
      <c r="N3109" s="1479">
        <v>2.0633249269596821</v>
      </c>
      <c r="O3109" s="1479"/>
    </row>
    <row r="3110" spans="11:15">
      <c r="K3110" s="1475">
        <v>45167</v>
      </c>
      <c r="L3110" s="1479" t="s">
        <v>2127</v>
      </c>
      <c r="M3110" s="851">
        <v>5.0788E-2</v>
      </c>
      <c r="N3110" s="1479">
        <v>2.0643728484235866</v>
      </c>
      <c r="O3110" s="1479"/>
    </row>
    <row r="3111" spans="11:15">
      <c r="K3111" s="1475">
        <v>45168</v>
      </c>
      <c r="L3111" s="1479" t="s">
        <v>2127</v>
      </c>
      <c r="M3111" s="851">
        <v>5.0788E-2</v>
      </c>
      <c r="N3111" s="1479">
        <v>2.0654213021058441</v>
      </c>
      <c r="O3111" s="1479"/>
    </row>
    <row r="3112" spans="11:15">
      <c r="K3112" s="1475">
        <v>45169</v>
      </c>
      <c r="L3112" s="1479" t="s">
        <v>2127</v>
      </c>
      <c r="M3112" s="851">
        <v>5.0788E-2</v>
      </c>
      <c r="N3112" s="1479">
        <v>2.0664702882767578</v>
      </c>
      <c r="O3112" s="1479"/>
    </row>
    <row r="3113" spans="11:15">
      <c r="K3113" s="1475">
        <v>45170</v>
      </c>
      <c r="L3113" s="1479" t="s">
        <v>2127</v>
      </c>
      <c r="M3113" s="851">
        <v>5.0788E-2</v>
      </c>
      <c r="N3113" s="1479">
        <v>2.067519807206768</v>
      </c>
      <c r="O3113" s="1479"/>
    </row>
    <row r="3114" spans="11:15">
      <c r="K3114" s="1475">
        <v>45171</v>
      </c>
      <c r="L3114" s="1479"/>
      <c r="M3114" s="851">
        <v>0</v>
      </c>
      <c r="N3114" s="1479">
        <v>2.067519807206768</v>
      </c>
      <c r="O3114" s="1479"/>
    </row>
    <row r="3115" spans="11:15">
      <c r="K3115" s="1475">
        <v>45172</v>
      </c>
      <c r="L3115" s="1479"/>
      <c r="M3115" s="851">
        <v>0</v>
      </c>
      <c r="N3115" s="1479">
        <v>2.067519807206768</v>
      </c>
      <c r="O3115" s="1479"/>
    </row>
    <row r="3116" spans="11:15">
      <c r="K3116" s="1475">
        <v>45173</v>
      </c>
      <c r="L3116" s="1479" t="s">
        <v>2127</v>
      </c>
      <c r="M3116" s="851">
        <v>5.0788E-2</v>
      </c>
      <c r="N3116" s="1479">
        <v>2.0685698591664523</v>
      </c>
      <c r="O3116" s="1479"/>
    </row>
    <row r="3117" spans="11:15">
      <c r="K3117" s="1475">
        <v>45174</v>
      </c>
      <c r="L3117" s="1479" t="s">
        <v>2127</v>
      </c>
      <c r="M3117" s="851">
        <v>5.0788E-2</v>
      </c>
      <c r="N3117" s="1479">
        <v>2.0696204444265258</v>
      </c>
      <c r="O3117" s="1479"/>
    </row>
    <row r="3118" spans="11:15">
      <c r="K3118" s="1475">
        <v>45175</v>
      </c>
      <c r="L3118" s="1479" t="s">
        <v>2127</v>
      </c>
      <c r="M3118" s="851">
        <v>5.0788E-2</v>
      </c>
      <c r="N3118" s="1479">
        <v>2.0706715632578412</v>
      </c>
      <c r="O3118" s="1479"/>
    </row>
    <row r="3119" spans="11:15">
      <c r="K3119" s="1475">
        <v>45176</v>
      </c>
      <c r="L3119" s="1479"/>
      <c r="M3119" s="851">
        <v>0</v>
      </c>
      <c r="N3119" s="1479">
        <v>2.0706715632578412</v>
      </c>
      <c r="O3119" s="1479"/>
    </row>
    <row r="3120" spans="11:15">
      <c r="K3120" s="1475">
        <v>45177</v>
      </c>
      <c r="L3120" s="1479" t="s">
        <v>2127</v>
      </c>
      <c r="M3120" s="851">
        <v>5.0788E-2</v>
      </c>
      <c r="N3120" s="1479">
        <v>2.0717232159313888</v>
      </c>
      <c r="O3120" s="1479"/>
    </row>
    <row r="3121" spans="11:15">
      <c r="K3121" s="1475">
        <v>45178</v>
      </c>
      <c r="L3121" s="1479"/>
      <c r="M3121" s="851">
        <v>0</v>
      </c>
      <c r="N3121" s="1479">
        <v>2.0717232159313888</v>
      </c>
      <c r="O3121" s="1479"/>
    </row>
    <row r="3122" spans="11:15">
      <c r="K3122" s="1475">
        <v>45179</v>
      </c>
      <c r="L3122" s="1479"/>
      <c r="M3122" s="851">
        <v>0</v>
      </c>
      <c r="N3122" s="1479">
        <v>2.0717232159313888</v>
      </c>
      <c r="O3122" s="1479"/>
    </row>
    <row r="3123" spans="11:15">
      <c r="K3123" s="1475">
        <v>45180</v>
      </c>
      <c r="L3123" s="1479" t="s">
        <v>2127</v>
      </c>
      <c r="M3123" s="851">
        <v>5.0788E-2</v>
      </c>
      <c r="N3123" s="1479">
        <v>2.0727754027182961</v>
      </c>
      <c r="O3123" s="1479"/>
    </row>
    <row r="3124" spans="11:15">
      <c r="K3124" s="1475">
        <v>45181</v>
      </c>
      <c r="L3124" s="1479" t="s">
        <v>2127</v>
      </c>
      <c r="M3124" s="851">
        <v>5.0788E-2</v>
      </c>
      <c r="N3124" s="1479">
        <v>2.0738281238898288</v>
      </c>
      <c r="O3124" s="1479"/>
    </row>
    <row r="3125" spans="11:15">
      <c r="K3125" s="1475">
        <v>45182</v>
      </c>
      <c r="L3125" s="1479" t="s">
        <v>2127</v>
      </c>
      <c r="M3125" s="851">
        <v>5.0788E-2</v>
      </c>
      <c r="N3125" s="1479">
        <v>2.07488137971739</v>
      </c>
      <c r="O3125" s="1479"/>
    </row>
    <row r="3126" spans="11:15">
      <c r="K3126" s="1475">
        <v>45183</v>
      </c>
      <c r="L3126" s="1479" t="s">
        <v>2127</v>
      </c>
      <c r="M3126" s="851">
        <v>5.0788E-2</v>
      </c>
      <c r="N3126" s="1479">
        <v>2.0759351704725209</v>
      </c>
      <c r="O3126" s="1479"/>
    </row>
    <row r="3127" spans="11:15">
      <c r="K3127" s="1475">
        <v>45184</v>
      </c>
      <c r="L3127" s="1479" t="s">
        <v>2127</v>
      </c>
      <c r="M3127" s="851">
        <v>5.0788E-2</v>
      </c>
      <c r="N3127" s="1479">
        <v>2.0769894964269007</v>
      </c>
      <c r="O3127" s="1479"/>
    </row>
    <row r="3128" spans="11:15">
      <c r="K3128" s="1475">
        <v>45185</v>
      </c>
      <c r="L3128" s="1479"/>
      <c r="M3128" s="851">
        <v>0</v>
      </c>
      <c r="N3128" s="1479">
        <v>2.0769894964269007</v>
      </c>
      <c r="O3128" s="1479"/>
    </row>
    <row r="3129" spans="11:15">
      <c r="K3129" s="1475">
        <v>45186</v>
      </c>
      <c r="L3129" s="1479"/>
      <c r="M3129" s="851">
        <v>0</v>
      </c>
      <c r="N3129" s="1479">
        <v>2.0769894964269007</v>
      </c>
      <c r="O3129" s="1479"/>
    </row>
    <row r="3130" spans="11:15">
      <c r="K3130" s="1475">
        <v>45187</v>
      </c>
      <c r="L3130" s="1479" t="s">
        <v>2127</v>
      </c>
      <c r="M3130" s="851">
        <v>5.0788E-2</v>
      </c>
      <c r="N3130" s="1479">
        <v>2.0780443578523462</v>
      </c>
      <c r="O3130" s="1479"/>
    </row>
    <row r="3131" spans="11:15">
      <c r="K3131" s="1475">
        <v>45188</v>
      </c>
      <c r="L3131" s="1479" t="s">
        <v>2127</v>
      </c>
      <c r="M3131" s="851">
        <v>5.0788E-2</v>
      </c>
      <c r="N3131" s="1479">
        <v>2.0790997550208123</v>
      </c>
      <c r="O3131" s="1479"/>
    </row>
    <row r="3132" spans="11:15">
      <c r="K3132" s="1475">
        <v>45189</v>
      </c>
      <c r="L3132" s="1479" t="s">
        <v>2127</v>
      </c>
      <c r="M3132" s="851">
        <v>5.0788E-2</v>
      </c>
      <c r="N3132" s="1479">
        <v>2.0801556882043926</v>
      </c>
      <c r="O3132" s="1479"/>
    </row>
    <row r="3133" spans="11:15">
      <c r="K3133" s="1475">
        <v>45190</v>
      </c>
      <c r="L3133" s="1479" t="s">
        <v>2127</v>
      </c>
      <c r="M3133" s="851">
        <v>5.0788E-2</v>
      </c>
      <c r="N3133" s="1479">
        <v>2.081212157675318</v>
      </c>
      <c r="O3133" s="1479"/>
    </row>
    <row r="3134" spans="11:15">
      <c r="K3134" s="1475">
        <v>45191</v>
      </c>
      <c r="L3134" s="1479" t="s">
        <v>2127</v>
      </c>
      <c r="M3134" s="851">
        <v>5.0788E-2</v>
      </c>
      <c r="N3134" s="1479">
        <v>2.0822691637059583</v>
      </c>
      <c r="O3134" s="1479"/>
    </row>
    <row r="3135" spans="11:15">
      <c r="K3135" s="1475">
        <v>45192</v>
      </c>
      <c r="L3135" s="1479"/>
      <c r="M3135" s="851">
        <v>0</v>
      </c>
      <c r="N3135" s="1479">
        <v>2.0822691637059583</v>
      </c>
      <c r="O3135" s="1479"/>
    </row>
    <row r="3136" spans="11:15">
      <c r="K3136" s="1475">
        <v>45193</v>
      </c>
      <c r="L3136" s="1479"/>
      <c r="M3136" s="851">
        <v>0</v>
      </c>
      <c r="N3136" s="1479">
        <v>2.0822691637059583</v>
      </c>
      <c r="O3136" s="1479"/>
    </row>
    <row r="3137" spans="11:15">
      <c r="K3137" s="1475">
        <v>45194</v>
      </c>
      <c r="L3137" s="1479" t="s">
        <v>2127</v>
      </c>
      <c r="M3137" s="851">
        <v>5.0788E-2</v>
      </c>
      <c r="N3137" s="1479">
        <v>2.0833267065688212</v>
      </c>
      <c r="O3137" s="1479"/>
    </row>
    <row r="3138" spans="11:15">
      <c r="K3138" s="1475">
        <v>45195</v>
      </c>
      <c r="L3138" s="1479" t="s">
        <v>2127</v>
      </c>
      <c r="M3138" s="851">
        <v>5.0788E-2</v>
      </c>
      <c r="N3138" s="1479">
        <v>2.0843847865365532</v>
      </c>
      <c r="O3138" s="1479"/>
    </row>
    <row r="3139" spans="11:15">
      <c r="K3139" s="1475">
        <v>45196</v>
      </c>
      <c r="L3139" s="1479" t="s">
        <v>2127</v>
      </c>
      <c r="M3139" s="851">
        <v>5.0788E-2</v>
      </c>
      <c r="N3139" s="1479">
        <v>2.0854434038819396</v>
      </c>
      <c r="O3139" s="1479"/>
    </row>
    <row r="3140" spans="11:15">
      <c r="K3140" s="1475">
        <v>45197</v>
      </c>
      <c r="L3140" s="1479" t="s">
        <v>2127</v>
      </c>
      <c r="M3140" s="851">
        <v>5.0788E-2</v>
      </c>
      <c r="N3140" s="1479">
        <v>2.0865025588779034</v>
      </c>
      <c r="O3140" s="1479"/>
    </row>
    <row r="3141" spans="11:15">
      <c r="K3141" s="1475">
        <v>45198</v>
      </c>
      <c r="L3141" s="1479" t="s">
        <v>2127</v>
      </c>
      <c r="M3141" s="851">
        <v>5.0788E-2</v>
      </c>
      <c r="N3141" s="1479">
        <v>2.0875622517975061</v>
      </c>
      <c r="O3141" s="1479"/>
    </row>
    <row r="3142" spans="11:15">
      <c r="K3142" s="1475">
        <v>45199</v>
      </c>
      <c r="L3142" s="1479"/>
      <c r="M3142" s="851">
        <v>0</v>
      </c>
      <c r="N3142" s="1479">
        <v>2.0875622517975061</v>
      </c>
      <c r="O3142" s="1479"/>
    </row>
    <row r="3143" spans="11:15">
      <c r="K3143" s="1475">
        <v>45200</v>
      </c>
      <c r="L3143" s="1479"/>
      <c r="M3143" s="851">
        <v>0</v>
      </c>
      <c r="N3143" s="1479">
        <v>2.0875622517975061</v>
      </c>
      <c r="O3143" s="1479"/>
    </row>
    <row r="3144" spans="11:15">
      <c r="K3144" s="1475">
        <v>45201</v>
      </c>
      <c r="L3144" s="1479" t="s">
        <v>2127</v>
      </c>
      <c r="M3144" s="851">
        <v>5.0788E-2</v>
      </c>
      <c r="N3144" s="1479">
        <v>2.0886224829139493</v>
      </c>
      <c r="O3144" s="1479"/>
    </row>
    <row r="3145" spans="11:15">
      <c r="K3145" s="1475">
        <v>45202</v>
      </c>
      <c r="L3145" s="1479" t="s">
        <v>2127</v>
      </c>
      <c r="M3145" s="851">
        <v>5.0788E-2</v>
      </c>
      <c r="N3145" s="1479">
        <v>2.0896832525005715</v>
      </c>
      <c r="O3145" s="1479"/>
    </row>
    <row r="3146" spans="11:15">
      <c r="K3146" s="1475">
        <v>45203</v>
      </c>
      <c r="L3146" s="1479" t="s">
        <v>2127</v>
      </c>
      <c r="M3146" s="851">
        <v>5.0788E-2</v>
      </c>
      <c r="N3146" s="1479">
        <v>2.0907445608308515</v>
      </c>
      <c r="O3146" s="1479"/>
    </row>
    <row r="3147" spans="11:15">
      <c r="K3147" s="1475">
        <v>45204</v>
      </c>
      <c r="L3147" s="1479" t="s">
        <v>2127</v>
      </c>
      <c r="M3147" s="851">
        <v>5.0788E-2</v>
      </c>
      <c r="N3147" s="1479">
        <v>2.0918064081784062</v>
      </c>
      <c r="O3147" s="1479"/>
    </row>
    <row r="3148" spans="11:15">
      <c r="K3148" s="1475">
        <v>45205</v>
      </c>
      <c r="L3148" s="1479" t="s">
        <v>2127</v>
      </c>
      <c r="M3148" s="851">
        <v>5.0788E-2</v>
      </c>
      <c r="N3148" s="1479">
        <v>2.092868794816992</v>
      </c>
      <c r="O3148" s="1479"/>
    </row>
    <row r="3149" spans="11:15">
      <c r="K3149" s="1475">
        <v>45206</v>
      </c>
      <c r="L3149" s="1479"/>
      <c r="M3149" s="851">
        <v>0</v>
      </c>
      <c r="N3149" s="1479">
        <v>2.092868794816992</v>
      </c>
      <c r="O3149" s="1479"/>
    </row>
    <row r="3150" spans="11:15">
      <c r="K3150" s="1475">
        <v>45207</v>
      </c>
      <c r="L3150" s="1479"/>
      <c r="M3150" s="851">
        <v>0</v>
      </c>
      <c r="N3150" s="1479">
        <v>2.092868794816992</v>
      </c>
      <c r="O3150" s="1479"/>
    </row>
    <row r="3151" spans="11:15">
      <c r="K3151" s="1475">
        <v>45208</v>
      </c>
      <c r="L3151" s="1479" t="s">
        <v>2127</v>
      </c>
      <c r="M3151" s="851">
        <v>5.0788E-2</v>
      </c>
      <c r="N3151" s="1479">
        <v>2.0939317210205037</v>
      </c>
      <c r="O3151" s="1479"/>
    </row>
    <row r="3152" spans="11:15">
      <c r="K3152" s="1475">
        <v>45209</v>
      </c>
      <c r="L3152" s="1479" t="s">
        <v>2127</v>
      </c>
      <c r="M3152" s="851">
        <v>5.0788E-2</v>
      </c>
      <c r="N3152" s="1479">
        <v>2.0949951870629757</v>
      </c>
      <c r="O3152" s="1479"/>
    </row>
    <row r="3153" spans="11:15">
      <c r="K3153" s="1475">
        <v>45210</v>
      </c>
      <c r="L3153" s="1479" t="s">
        <v>2127</v>
      </c>
      <c r="M3153" s="851">
        <v>5.0788E-2</v>
      </c>
      <c r="N3153" s="1479">
        <v>2.0960591932185815</v>
      </c>
      <c r="O3153" s="1479"/>
    </row>
    <row r="3154" spans="11:15">
      <c r="K3154" s="1475">
        <v>45211</v>
      </c>
      <c r="L3154" s="1479"/>
      <c r="M3154" s="851">
        <v>0</v>
      </c>
      <c r="N3154" s="1479">
        <v>2.0960591932185815</v>
      </c>
      <c r="O3154" s="1479"/>
    </row>
    <row r="3155" spans="11:15">
      <c r="K3155" s="1475">
        <v>45212</v>
      </c>
      <c r="L3155" s="1479" t="s">
        <v>2127</v>
      </c>
      <c r="M3155" s="851">
        <v>5.0788E-2</v>
      </c>
      <c r="N3155" s="1479">
        <v>2.0971237397616336</v>
      </c>
      <c r="O3155" s="1479"/>
    </row>
    <row r="3156" spans="11:15">
      <c r="K3156" s="1475">
        <v>45213</v>
      </c>
      <c r="L3156" s="1479"/>
      <c r="M3156" s="851">
        <v>0</v>
      </c>
      <c r="N3156" s="1479">
        <v>2.0971237397616336</v>
      </c>
      <c r="O3156" s="1479"/>
    </row>
    <row r="3157" spans="11:15">
      <c r="K3157" s="1475">
        <v>45214</v>
      </c>
      <c r="L3157" s="1479"/>
      <c r="M3157" s="851">
        <v>0</v>
      </c>
      <c r="N3157" s="1479">
        <v>2.0971237397616336</v>
      </c>
      <c r="O3157" s="1479"/>
    </row>
    <row r="3158" spans="11:15">
      <c r="K3158" s="1475">
        <v>45215</v>
      </c>
      <c r="L3158" s="1479" t="s">
        <v>2127</v>
      </c>
      <c r="M3158" s="851">
        <v>5.0788E-2</v>
      </c>
      <c r="N3158" s="1479">
        <v>2.0981888269665836</v>
      </c>
      <c r="O3158" s="1479"/>
    </row>
    <row r="3159" spans="11:15">
      <c r="K3159" s="1475">
        <v>45216</v>
      </c>
      <c r="L3159" s="1479" t="s">
        <v>2127</v>
      </c>
      <c r="M3159" s="851">
        <v>5.0788E-2</v>
      </c>
      <c r="N3159" s="1479">
        <v>2.0992544551080234</v>
      </c>
      <c r="O3159" s="1479"/>
    </row>
    <row r="3160" spans="11:15">
      <c r="K3160" s="1475">
        <v>45217</v>
      </c>
      <c r="L3160" s="1479" t="s">
        <v>2127</v>
      </c>
      <c r="M3160" s="851">
        <v>5.0788E-2</v>
      </c>
      <c r="N3160" s="1479">
        <v>2.1003206244606836</v>
      </c>
      <c r="O3160" s="1479"/>
    </row>
    <row r="3161" spans="11:15">
      <c r="K3161" s="1475">
        <v>45218</v>
      </c>
      <c r="L3161" s="1479" t="s">
        <v>2127</v>
      </c>
      <c r="M3161" s="851">
        <v>5.0788E-2</v>
      </c>
      <c r="N3161" s="1479">
        <v>2.1013873352994348</v>
      </c>
      <c r="O3161" s="1479"/>
    </row>
    <row r="3162" spans="11:15">
      <c r="K3162" s="1475">
        <v>45219</v>
      </c>
      <c r="L3162" s="1479" t="s">
        <v>2127</v>
      </c>
      <c r="M3162" s="851">
        <v>5.0788E-2</v>
      </c>
      <c r="N3162" s="1479">
        <v>2.1024545878992869</v>
      </c>
      <c r="O3162" s="1479"/>
    </row>
    <row r="3163" spans="11:15">
      <c r="K3163" s="1475">
        <v>45220</v>
      </c>
      <c r="L3163" s="1479"/>
      <c r="M3163" s="851">
        <v>0</v>
      </c>
      <c r="N3163" s="1479">
        <v>2.1024545878992869</v>
      </c>
      <c r="O3163" s="1479"/>
    </row>
    <row r="3164" spans="11:15">
      <c r="K3164" s="1475">
        <v>45221</v>
      </c>
      <c r="L3164" s="1479"/>
      <c r="M3164" s="851">
        <v>0</v>
      </c>
      <c r="N3164" s="1479">
        <v>2.1024545878992869</v>
      </c>
      <c r="O3164" s="1479"/>
    </row>
    <row r="3165" spans="11:15">
      <c r="K3165" s="1475">
        <v>45222</v>
      </c>
      <c r="L3165" s="1479" t="s">
        <v>2127</v>
      </c>
      <c r="M3165" s="851">
        <v>5.0788E-2</v>
      </c>
      <c r="N3165" s="1479">
        <v>2.103522382535389</v>
      </c>
      <c r="O3165" s="1479"/>
    </row>
    <row r="3166" spans="11:15">
      <c r="K3166" s="1475">
        <v>45223</v>
      </c>
      <c r="L3166" s="1479" t="s">
        <v>2127</v>
      </c>
      <c r="M3166" s="851">
        <v>5.0788E-2</v>
      </c>
      <c r="N3166" s="1479">
        <v>2.1045907194830313</v>
      </c>
      <c r="O3166" s="1479"/>
    </row>
    <row r="3167" spans="11:15">
      <c r="K3167" s="1475">
        <v>45224</v>
      </c>
      <c r="L3167" s="1479" t="s">
        <v>2127</v>
      </c>
      <c r="M3167" s="851">
        <v>5.0788E-2</v>
      </c>
      <c r="N3167" s="1479">
        <v>2.1056595990176423</v>
      </c>
      <c r="O3167" s="1479"/>
    </row>
    <row r="3168" spans="11:15">
      <c r="K3168" s="1475">
        <v>45225</v>
      </c>
      <c r="L3168" s="1479" t="s">
        <v>2127</v>
      </c>
      <c r="M3168" s="851">
        <v>5.0788E-2</v>
      </c>
      <c r="N3168" s="1479">
        <v>2.1067290214147913</v>
      </c>
      <c r="O3168" s="1479"/>
    </row>
    <row r="3169" spans="11:15">
      <c r="K3169" s="1475">
        <v>45226</v>
      </c>
      <c r="L3169" s="1479" t="s">
        <v>2127</v>
      </c>
      <c r="M3169" s="851">
        <v>5.0788E-2</v>
      </c>
      <c r="N3169" s="1479">
        <v>2.1077989869501876</v>
      </c>
      <c r="O3169" s="1479"/>
    </row>
    <row r="3170" spans="11:15">
      <c r="K3170" s="1475">
        <v>45227</v>
      </c>
      <c r="L3170" s="1479"/>
      <c r="M3170" s="851">
        <v>0</v>
      </c>
      <c r="N3170" s="1479">
        <v>2.1077989869501876</v>
      </c>
      <c r="O3170" s="1479"/>
    </row>
    <row r="3171" spans="11:15">
      <c r="K3171" s="1475">
        <v>45228</v>
      </c>
      <c r="L3171" s="1479"/>
      <c r="M3171" s="851">
        <v>0</v>
      </c>
      <c r="N3171" s="1479">
        <v>2.1077989869501876</v>
      </c>
      <c r="O3171" s="1479"/>
    </row>
    <row r="3172" spans="11:15">
      <c r="K3172" s="1475">
        <v>45229</v>
      </c>
      <c r="L3172" s="1479" t="s">
        <v>2127</v>
      </c>
      <c r="M3172" s="851">
        <v>5.0788E-2</v>
      </c>
      <c r="N3172" s="1479">
        <v>2.1088694958996799</v>
      </c>
      <c r="O3172" s="1479"/>
    </row>
    <row r="3173" spans="11:15">
      <c r="K3173" s="1475">
        <v>45230</v>
      </c>
      <c r="L3173" s="1479" t="s">
        <v>2127</v>
      </c>
      <c r="M3173" s="851">
        <v>5.0788E-2</v>
      </c>
      <c r="N3173" s="1479">
        <v>2.1099405485392575</v>
      </c>
      <c r="O3173" s="1479"/>
    </row>
    <row r="3174" spans="11:15">
      <c r="K3174" s="1475">
        <v>45231</v>
      </c>
      <c r="L3174" s="1479" t="s">
        <v>2127</v>
      </c>
      <c r="M3174" s="851">
        <v>5.0788E-2</v>
      </c>
      <c r="N3174" s="1479">
        <v>2.1110121451450499</v>
      </c>
      <c r="O3174" s="1479"/>
    </row>
    <row r="3175" spans="11:15">
      <c r="K3175" s="1475">
        <v>45232</v>
      </c>
      <c r="L3175" s="1479"/>
      <c r="M3175" s="851">
        <v>0</v>
      </c>
      <c r="N3175" s="1479">
        <v>2.1110121451450499</v>
      </c>
      <c r="O3175" s="1479"/>
    </row>
    <row r="3176" spans="11:15">
      <c r="K3176" s="1475">
        <v>45233</v>
      </c>
      <c r="L3176" s="1479" t="s">
        <v>2127</v>
      </c>
      <c r="M3176" s="851">
        <v>5.0788E-2</v>
      </c>
      <c r="N3176" s="1479">
        <v>2.1120842859933262</v>
      </c>
      <c r="O3176" s="1479"/>
    </row>
    <row r="3177" spans="11:15">
      <c r="K3177" s="1475">
        <v>45234</v>
      </c>
      <c r="L3177" s="1479"/>
      <c r="M3177" s="851">
        <v>0</v>
      </c>
      <c r="N3177" s="1479">
        <v>2.1120842859933262</v>
      </c>
      <c r="O3177" s="1479"/>
    </row>
    <row r="3178" spans="11:15">
      <c r="K3178" s="1475">
        <v>45235</v>
      </c>
      <c r="L3178" s="1479"/>
      <c r="M3178" s="851">
        <v>0</v>
      </c>
      <c r="N3178" s="1479">
        <v>2.1120842859933262</v>
      </c>
      <c r="O3178" s="1479"/>
    </row>
    <row r="3179" spans="11:15">
      <c r="K3179" s="1475">
        <v>45236</v>
      </c>
      <c r="L3179" s="1479" t="s">
        <v>2127</v>
      </c>
      <c r="M3179" s="851">
        <v>5.0788E-2</v>
      </c>
      <c r="N3179" s="1479">
        <v>2.1131569713604965</v>
      </c>
      <c r="O3179" s="1479"/>
    </row>
    <row r="3180" spans="11:15">
      <c r="K3180" s="1475">
        <v>45237</v>
      </c>
      <c r="L3180" s="1479" t="s">
        <v>2127</v>
      </c>
      <c r="M3180" s="851">
        <v>5.0788E-2</v>
      </c>
      <c r="N3180" s="1479">
        <v>2.1142302015231111</v>
      </c>
      <c r="O3180" s="1479"/>
    </row>
    <row r="3181" spans="11:15">
      <c r="K3181" s="1475">
        <v>45238</v>
      </c>
      <c r="L3181" s="1479" t="s">
        <v>2127</v>
      </c>
      <c r="M3181" s="851">
        <v>5.0788E-2</v>
      </c>
      <c r="N3181" s="1479">
        <v>2.1153039767578607</v>
      </c>
      <c r="O3181" s="1479"/>
    </row>
    <row r="3182" spans="11:15">
      <c r="K3182" s="1475">
        <v>45239</v>
      </c>
      <c r="L3182" s="1479" t="s">
        <v>2127</v>
      </c>
      <c r="M3182" s="851">
        <v>5.0788E-2</v>
      </c>
      <c r="N3182" s="1479">
        <v>2.1163782973415768</v>
      </c>
      <c r="O3182" s="1479"/>
    </row>
    <row r="3183" spans="11:15">
      <c r="K3183" s="1475">
        <v>45240</v>
      </c>
      <c r="L3183" s="1479" t="s">
        <v>2127</v>
      </c>
      <c r="M3183" s="851">
        <v>5.0788E-2</v>
      </c>
      <c r="N3183" s="1479">
        <v>2.1174531635512306</v>
      </c>
      <c r="O3183" s="1479"/>
    </row>
    <row r="3184" spans="11:15">
      <c r="K3184" s="1475">
        <v>45241</v>
      </c>
      <c r="L3184" s="1479"/>
      <c r="M3184" s="851">
        <v>0</v>
      </c>
      <c r="N3184" s="1479">
        <v>2.1174531635512306</v>
      </c>
      <c r="O3184" s="1479"/>
    </row>
    <row r="3185" spans="11:15">
      <c r="K3185" s="1475">
        <v>45242</v>
      </c>
      <c r="L3185" s="1479"/>
      <c r="M3185" s="851">
        <v>0</v>
      </c>
      <c r="N3185" s="1479">
        <v>2.1174531635512306</v>
      </c>
      <c r="O3185" s="1479"/>
    </row>
    <row r="3186" spans="11:15">
      <c r="K3186" s="1475">
        <v>45243</v>
      </c>
      <c r="L3186" s="1479" t="s">
        <v>2127</v>
      </c>
      <c r="M3186" s="851">
        <v>5.0788E-2</v>
      </c>
      <c r="N3186" s="1479">
        <v>2.1185285756639352</v>
      </c>
      <c r="O3186" s="1479"/>
    </row>
    <row r="3187" spans="11:15">
      <c r="K3187" s="1475">
        <v>45244</v>
      </c>
      <c r="L3187" s="1479" t="s">
        <v>2127</v>
      </c>
      <c r="M3187" s="851">
        <v>5.0788E-2</v>
      </c>
      <c r="N3187" s="1479">
        <v>2.1196045339569434</v>
      </c>
      <c r="O3187" s="1479"/>
    </row>
    <row r="3188" spans="11:15">
      <c r="K3188" s="1475">
        <v>45245</v>
      </c>
      <c r="L3188" s="1479"/>
      <c r="M3188" s="851">
        <v>0</v>
      </c>
      <c r="N3188" s="1479">
        <v>2.1196045339569434</v>
      </c>
      <c r="O3188" s="1479"/>
    </row>
    <row r="3189" spans="11:15">
      <c r="K3189" s="1475">
        <v>45246</v>
      </c>
      <c r="L3189" s="1479" t="s">
        <v>2127</v>
      </c>
      <c r="M3189" s="851">
        <v>5.0788E-2</v>
      </c>
      <c r="N3189" s="1479">
        <v>2.1206810387076493</v>
      </c>
      <c r="O3189" s="1479"/>
    </row>
    <row r="3190" spans="11:15">
      <c r="K3190" s="1475">
        <v>45247</v>
      </c>
      <c r="L3190" s="1479" t="s">
        <v>2127</v>
      </c>
      <c r="M3190" s="851">
        <v>5.0788E-2</v>
      </c>
      <c r="N3190" s="1479">
        <v>2.1217580901935884</v>
      </c>
      <c r="O3190" s="1479"/>
    </row>
    <row r="3191" spans="11:15">
      <c r="K3191" s="1475">
        <v>45248</v>
      </c>
      <c r="L3191" s="1479"/>
      <c r="M3191" s="851">
        <v>0</v>
      </c>
      <c r="N3191" s="1479">
        <v>2.1217580901935884</v>
      </c>
      <c r="O3191" s="1479"/>
    </row>
    <row r="3192" spans="11:15">
      <c r="K3192" s="1475">
        <v>45249</v>
      </c>
      <c r="L3192" s="1479"/>
      <c r="M3192" s="851">
        <v>0</v>
      </c>
      <c r="N3192" s="1479">
        <v>2.1217580901935884</v>
      </c>
      <c r="O3192" s="1479"/>
    </row>
    <row r="3193" spans="11:15">
      <c r="K3193" s="1475">
        <v>45250</v>
      </c>
      <c r="L3193" s="1479" t="s">
        <v>2127</v>
      </c>
      <c r="M3193" s="851">
        <v>5.0788E-2</v>
      </c>
      <c r="N3193" s="1479">
        <v>2.1228356886924358</v>
      </c>
      <c r="O3193" s="1479"/>
    </row>
    <row r="3194" spans="11:15">
      <c r="K3194" s="1475">
        <v>45251</v>
      </c>
      <c r="L3194" s="1479" t="s">
        <v>2127</v>
      </c>
      <c r="M3194" s="851">
        <v>5.0788E-2</v>
      </c>
      <c r="N3194" s="1479">
        <v>2.1239138344820088</v>
      </c>
      <c r="O3194" s="1479"/>
    </row>
    <row r="3195" spans="11:15">
      <c r="K3195" s="1475">
        <v>45252</v>
      </c>
      <c r="L3195" s="1479" t="s">
        <v>2127</v>
      </c>
      <c r="M3195" s="851">
        <v>5.0788E-2</v>
      </c>
      <c r="N3195" s="1479">
        <v>2.1249925278402655</v>
      </c>
      <c r="O3195" s="1479"/>
    </row>
    <row r="3196" spans="11:15">
      <c r="K3196" s="1475">
        <v>45253</v>
      </c>
      <c r="L3196" s="1479" t="s">
        <v>2127</v>
      </c>
      <c r="M3196" s="851">
        <v>5.0788E-2</v>
      </c>
      <c r="N3196" s="1479">
        <v>2.1260717690453048</v>
      </c>
      <c r="O3196" s="1479"/>
    </row>
    <row r="3197" spans="11:15">
      <c r="K3197" s="1475">
        <v>45254</v>
      </c>
      <c r="L3197" s="1479" t="s">
        <v>2127</v>
      </c>
      <c r="M3197" s="851">
        <v>5.0788E-2</v>
      </c>
      <c r="N3197" s="1479">
        <v>2.1271515583753677</v>
      </c>
      <c r="O3197" s="1479"/>
    </row>
    <row r="3198" spans="11:15">
      <c r="K3198" s="1475">
        <v>45255</v>
      </c>
      <c r="L3198" s="1479"/>
      <c r="M3198" s="851">
        <v>0</v>
      </c>
      <c r="N3198" s="1479">
        <v>2.1271515583753677</v>
      </c>
      <c r="O3198" s="1479"/>
    </row>
    <row r="3199" spans="11:15">
      <c r="K3199" s="1475">
        <v>45256</v>
      </c>
      <c r="L3199" s="1479"/>
      <c r="M3199" s="851">
        <v>0</v>
      </c>
      <c r="N3199" s="1479">
        <v>2.1271515583753677</v>
      </c>
      <c r="O3199" s="1479"/>
    </row>
    <row r="3200" spans="11:15">
      <c r="K3200" s="1475">
        <v>45257</v>
      </c>
      <c r="L3200" s="1479" t="s">
        <v>2127</v>
      </c>
      <c r="M3200" s="851">
        <v>5.0788E-2</v>
      </c>
      <c r="N3200" s="1479">
        <v>2.1282318961088356</v>
      </c>
      <c r="O3200" s="1479"/>
    </row>
    <row r="3201" spans="11:15">
      <c r="K3201" s="1475">
        <v>45258</v>
      </c>
      <c r="L3201" s="1479" t="s">
        <v>2127</v>
      </c>
      <c r="M3201" s="851">
        <v>5.0788E-2</v>
      </c>
      <c r="N3201" s="1479">
        <v>2.1293127825242313</v>
      </c>
      <c r="O3201" s="1479"/>
    </row>
    <row r="3202" spans="11:15">
      <c r="K3202" s="1475">
        <v>45259</v>
      </c>
      <c r="L3202" s="1479" t="s">
        <v>2127</v>
      </c>
      <c r="M3202" s="851">
        <v>5.0788E-2</v>
      </c>
      <c r="N3202" s="1479">
        <v>2.1303942179002195</v>
      </c>
      <c r="O3202" s="1479"/>
    </row>
    <row r="3203" spans="11:15">
      <c r="K3203" s="1475">
        <v>45260</v>
      </c>
      <c r="L3203" s="1479" t="s">
        <v>2127</v>
      </c>
      <c r="M3203" s="851">
        <v>5.0788E-2</v>
      </c>
      <c r="N3203" s="1479">
        <v>2.1314762025156067</v>
      </c>
      <c r="O3203" s="1479"/>
    </row>
    <row r="3204" spans="11:15">
      <c r="K3204" s="1475">
        <v>45261</v>
      </c>
      <c r="L3204" s="1479" t="s">
        <v>2127</v>
      </c>
      <c r="M3204" s="851">
        <v>5.0788E-2</v>
      </c>
      <c r="N3204" s="1479">
        <v>2.1325587366493401</v>
      </c>
      <c r="O3204" s="1479"/>
    </row>
    <row r="3205" spans="11:15">
      <c r="K3205" s="1475">
        <v>45262</v>
      </c>
      <c r="L3205" s="1479"/>
      <c r="M3205" s="851">
        <v>0</v>
      </c>
      <c r="N3205" s="1479">
        <v>2.1325587366493401</v>
      </c>
      <c r="O3205" s="1479"/>
    </row>
    <row r="3206" spans="11:15">
      <c r="K3206" s="1475">
        <v>45263</v>
      </c>
      <c r="L3206" s="1479"/>
      <c r="M3206" s="851">
        <v>0</v>
      </c>
      <c r="N3206" s="1479">
        <v>2.1325587366493401</v>
      </c>
      <c r="O3206" s="1479"/>
    </row>
    <row r="3207" spans="11:15">
      <c r="K3207" s="1475">
        <v>45264</v>
      </c>
      <c r="L3207" s="1479" t="s">
        <v>2127</v>
      </c>
      <c r="M3207" s="851">
        <v>5.0788E-2</v>
      </c>
      <c r="N3207" s="1479">
        <v>2.1336418205805097</v>
      </c>
      <c r="O3207" s="1479"/>
    </row>
    <row r="3208" spans="11:15">
      <c r="K3208" s="1475">
        <v>45265</v>
      </c>
      <c r="L3208" s="1479" t="s">
        <v>2127</v>
      </c>
      <c r="M3208" s="851">
        <v>5.0788E-2</v>
      </c>
      <c r="N3208" s="1479">
        <v>2.1347254545883461</v>
      </c>
      <c r="O3208" s="1479"/>
    </row>
    <row r="3209" spans="11:15">
      <c r="K3209" s="1475">
        <v>45266</v>
      </c>
      <c r="L3209" s="1479" t="s">
        <v>2127</v>
      </c>
      <c r="M3209" s="851">
        <v>5.0788E-2</v>
      </c>
      <c r="N3209" s="1479">
        <v>2.1358096389522223</v>
      </c>
      <c r="O3209" s="1479"/>
    </row>
    <row r="3210" spans="11:15">
      <c r="K3210" s="1475">
        <v>45267</v>
      </c>
      <c r="L3210" s="1479" t="s">
        <v>2127</v>
      </c>
      <c r="M3210" s="851">
        <v>5.0788E-2</v>
      </c>
      <c r="N3210" s="1479">
        <v>2.1368943739516535</v>
      </c>
      <c r="O3210" s="1479"/>
    </row>
    <row r="3211" spans="11:15">
      <c r="K3211" s="1475">
        <v>45268</v>
      </c>
      <c r="L3211" s="1479" t="s">
        <v>2127</v>
      </c>
      <c r="M3211" s="851">
        <v>5.0788E-2</v>
      </c>
      <c r="N3211" s="1479">
        <v>2.1379796598662959</v>
      </c>
      <c r="O3211" s="1479"/>
    </row>
    <row r="3212" spans="11:15">
      <c r="K3212" s="1475">
        <v>45269</v>
      </c>
      <c r="L3212" s="1479"/>
      <c r="M3212" s="851">
        <v>0</v>
      </c>
      <c r="N3212" s="1479">
        <v>2.1379796598662959</v>
      </c>
      <c r="O3212" s="1479"/>
    </row>
    <row r="3213" spans="11:15">
      <c r="K3213" s="1475">
        <v>45270</v>
      </c>
      <c r="L3213" s="1479"/>
      <c r="M3213" s="851">
        <v>0</v>
      </c>
      <c r="N3213" s="1479">
        <v>2.1379796598662959</v>
      </c>
      <c r="O3213" s="1479"/>
    </row>
    <row r="3214" spans="11:15">
      <c r="K3214" s="1475">
        <v>45271</v>
      </c>
      <c r="L3214" s="1479" t="s">
        <v>2127</v>
      </c>
      <c r="M3214" s="851">
        <v>5.0788E-2</v>
      </c>
      <c r="N3214" s="1479">
        <v>2.1390654969759488</v>
      </c>
      <c r="O3214" s="1479"/>
    </row>
    <row r="3215" spans="11:15">
      <c r="K3215" s="1475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75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75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75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75">
        <v>45276</v>
      </c>
      <c r="M3219" s="1">
        <v>0</v>
      </c>
      <c r="N3219" s="1">
        <v>2.1434143629656153</v>
      </c>
    </row>
    <row r="3220" spans="11:14">
      <c r="K3220" s="1475">
        <v>45277</v>
      </c>
      <c r="M3220" s="1">
        <v>0</v>
      </c>
      <c r="N3220" s="1">
        <v>2.1434143629656153</v>
      </c>
    </row>
    <row r="3221" spans="11:14">
      <c r="K3221" s="1475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75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75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75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75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75">
        <v>45283</v>
      </c>
      <c r="M3226" s="1">
        <v>0</v>
      </c>
      <c r="N3226" s="1">
        <v>2.1488628809754942</v>
      </c>
    </row>
    <row r="3227" spans="11:14">
      <c r="K3227" s="1475">
        <v>45284</v>
      </c>
      <c r="M3227" s="1">
        <v>0</v>
      </c>
      <c r="N3227" s="1">
        <v>2.1488628809754942</v>
      </c>
    </row>
    <row r="3228" spans="11:14">
      <c r="K3228" s="1475">
        <v>45285</v>
      </c>
      <c r="M3228" s="1">
        <v>0</v>
      </c>
      <c r="N3228" s="1">
        <v>2.1488628809754942</v>
      </c>
    </row>
    <row r="3229" spans="11:14">
      <c r="K3229" s="1475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75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75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75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75">
        <v>45290</v>
      </c>
      <c r="M3233" s="1">
        <v>0</v>
      </c>
      <c r="N3233" s="1">
        <v>2.1532316657147845</v>
      </c>
    </row>
    <row r="3234" spans="11:14">
      <c r="K3234" s="1475">
        <v>45291</v>
      </c>
      <c r="M3234" s="1">
        <v>0</v>
      </c>
      <c r="N3234" s="1">
        <v>2.1532316657147845</v>
      </c>
    </row>
    <row r="3235" spans="11:14">
      <c r="K3235" s="1475">
        <v>45292</v>
      </c>
      <c r="M3235" s="1">
        <v>0</v>
      </c>
      <c r="N3235" s="1">
        <v>2.1532316657147845</v>
      </c>
    </row>
    <row r="3236" spans="11:14">
      <c r="K3236" s="1475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75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75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75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75">
        <v>45297</v>
      </c>
      <c r="M3240" s="1">
        <v>0</v>
      </c>
      <c r="N3240" s="1">
        <v>2.1576093324912993</v>
      </c>
    </row>
    <row r="3241" spans="11:14">
      <c r="K3241" s="1475">
        <v>45298</v>
      </c>
      <c r="M3241" s="1">
        <v>0</v>
      </c>
      <c r="N3241" s="1">
        <v>2.1576093324912993</v>
      </c>
    </row>
    <row r="3242" spans="11:14">
      <c r="K3242" s="1475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75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75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75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75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75">
        <v>45304</v>
      </c>
      <c r="M3247" s="1">
        <v>0</v>
      </c>
      <c r="N3247" s="1">
        <v>2.1630939338401936</v>
      </c>
    </row>
    <row r="3248" spans="11:14">
      <c r="K3248" s="1475">
        <v>45305</v>
      </c>
      <c r="M3248" s="1">
        <v>0</v>
      </c>
      <c r="N3248" s="1">
        <v>2.1630939338401936</v>
      </c>
    </row>
    <row r="3249" spans="11:14">
      <c r="K3249" s="1475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75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75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75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75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75">
        <v>45311</v>
      </c>
      <c r="M3254" s="1">
        <v>0</v>
      </c>
      <c r="N3254" s="1">
        <v>2.1685924769400353</v>
      </c>
    </row>
    <row r="3255" spans="11:14">
      <c r="K3255" s="1475">
        <v>45312</v>
      </c>
      <c r="M3255" s="1">
        <v>0</v>
      </c>
      <c r="N3255" s="1">
        <v>2.1685924769400353</v>
      </c>
    </row>
    <row r="3256" spans="11:14">
      <c r="K3256" s="1475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75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75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75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75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75">
        <v>45318</v>
      </c>
      <c r="M3261" s="1">
        <v>0</v>
      </c>
      <c r="N3261" s="1">
        <v>2.1741049972304873</v>
      </c>
    </row>
    <row r="3262" spans="11:14">
      <c r="K3262" s="1475">
        <v>45319</v>
      </c>
      <c r="M3262" s="1">
        <v>0</v>
      </c>
      <c r="N3262" s="1">
        <v>2.1741049972304873</v>
      </c>
    </row>
    <row r="3263" spans="11:14">
      <c r="K3263" s="1475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75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75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75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75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75">
        <v>45325</v>
      </c>
      <c r="M3268" s="1">
        <v>0</v>
      </c>
      <c r="N3268" s="1">
        <v>2.1796315302412985</v>
      </c>
    </row>
    <row r="3269" spans="11:14">
      <c r="K3269" s="1475">
        <v>45326</v>
      </c>
      <c r="M3269" s="1">
        <v>0</v>
      </c>
      <c r="N3269" s="1">
        <v>2.1796315302412985</v>
      </c>
    </row>
    <row r="3270" spans="11:14">
      <c r="K3270" s="1475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75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75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75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75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75">
        <v>45332</v>
      </c>
      <c r="M3275" s="1">
        <v>0</v>
      </c>
      <c r="N3275" s="1">
        <v>2.1851721115925344</v>
      </c>
    </row>
    <row r="3276" spans="11:14">
      <c r="K3276" s="1475">
        <v>45333</v>
      </c>
      <c r="M3276" s="1">
        <v>0</v>
      </c>
      <c r="N3276" s="1">
        <v>2.1851721115925344</v>
      </c>
    </row>
    <row r="3277" spans="11:14">
      <c r="K3277" s="1475">
        <v>45334</v>
      </c>
      <c r="M3277" s="1">
        <v>0</v>
      </c>
      <c r="N3277" s="1">
        <v>2.1851721115925344</v>
      </c>
    </row>
    <row r="3278" spans="11:14">
      <c r="K3278" s="1475">
        <v>45335</v>
      </c>
      <c r="M3278" s="1">
        <v>0</v>
      </c>
      <c r="N3278" s="1">
        <v>2.1851721115925344</v>
      </c>
    </row>
    <row r="3279" spans="11:14">
      <c r="K3279" s="1475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75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75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75">
        <v>45339</v>
      </c>
      <c r="M3282" s="1">
        <v>0</v>
      </c>
      <c r="N3282" s="1">
        <v>2.1885032184585205</v>
      </c>
    </row>
    <row r="3283" spans="11:14">
      <c r="K3283" s="1475">
        <v>45340</v>
      </c>
      <c r="M3283" s="1">
        <v>0</v>
      </c>
      <c r="N3283" s="1">
        <v>2.1885032184585205</v>
      </c>
    </row>
    <row r="3284" spans="11:14">
      <c r="K3284" s="1475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75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75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75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75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75">
        <v>45346</v>
      </c>
      <c r="M3289" s="1">
        <v>0</v>
      </c>
      <c r="N3289" s="1">
        <v>2.194066351470259</v>
      </c>
    </row>
    <row r="3290" spans="11:14">
      <c r="K3290" s="1475">
        <v>45347</v>
      </c>
      <c r="M3290" s="1">
        <v>0</v>
      </c>
      <c r="N3290" s="1">
        <v>2.194066351470259</v>
      </c>
    </row>
    <row r="3291" spans="11:14">
      <c r="K3291" s="1475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75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75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75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75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75">
        <v>45353</v>
      </c>
      <c r="M3296" s="1">
        <v>0</v>
      </c>
      <c r="N3296" s="1">
        <v>2.1996436258589185</v>
      </c>
    </row>
    <row r="3297" spans="11:14">
      <c r="K3297" s="1475">
        <v>45354</v>
      </c>
      <c r="M3297" s="1">
        <v>0</v>
      </c>
      <c r="N3297" s="1">
        <v>2.1996436258589185</v>
      </c>
    </row>
    <row r="3298" spans="11:14">
      <c r="K3298" s="1475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75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75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75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75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75">
        <v>45360</v>
      </c>
      <c r="M3303" s="1">
        <v>0</v>
      </c>
      <c r="N3303" s="1">
        <v>2.2052350775716074</v>
      </c>
    </row>
    <row r="3304" spans="11:14">
      <c r="K3304" s="1475">
        <v>45361</v>
      </c>
      <c r="M3304" s="1">
        <v>0</v>
      </c>
      <c r="N3304" s="1">
        <v>2.2052350775716074</v>
      </c>
    </row>
    <row r="3305" spans="11:14">
      <c r="K3305" s="1475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75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75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75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75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75">
        <v>45367</v>
      </c>
      <c r="M3310" s="1">
        <v>0</v>
      </c>
      <c r="N3310" s="1">
        <v>2.21084074264681</v>
      </c>
    </row>
    <row r="3311" spans="11:14">
      <c r="K3311" s="1475">
        <v>45368</v>
      </c>
      <c r="M3311" s="1">
        <v>0</v>
      </c>
      <c r="N3311" s="1">
        <v>2.21084074264681</v>
      </c>
    </row>
    <row r="3312" spans="11:14">
      <c r="K3312" s="1475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75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75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75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75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75">
        <v>45374</v>
      </c>
      <c r="M3317" s="1">
        <v>0</v>
      </c>
      <c r="N3317" s="1">
        <v>2.2164606572146197</v>
      </c>
    </row>
    <row r="3318" spans="11:14">
      <c r="K3318" s="1475">
        <v>45375</v>
      </c>
      <c r="M3318" s="1">
        <v>0</v>
      </c>
      <c r="N3318" s="1">
        <v>2.2164606572146197</v>
      </c>
    </row>
    <row r="3319" spans="11:14">
      <c r="K3319" s="1475">
        <v>45376</v>
      </c>
      <c r="L3319" s="1" t="s">
        <v>2127</v>
      </c>
      <c r="M3319" s="1">
        <v>5.0788E-2</v>
      </c>
      <c r="N3319" s="1">
        <v>2.2175863532532061</v>
      </c>
    </row>
    <row r="3320" spans="11:14">
      <c r="K3320" s="1475">
        <v>45377</v>
      </c>
      <c r="L3320" s="1" t="s">
        <v>2127</v>
      </c>
      <c r="M3320" s="1">
        <v>5.0788E-2</v>
      </c>
      <c r="N3320" s="1">
        <v>2.2187126210102965</v>
      </c>
    </row>
    <row r="3321" spans="11:14">
      <c r="K3321" s="1475"/>
    </row>
    <row r="3322" spans="11:14">
      <c r="K3322" s="1475"/>
    </row>
    <row r="3323" spans="11:14">
      <c r="K3323" s="1475"/>
    </row>
    <row r="3324" spans="11:14">
      <c r="K3324" s="1475"/>
    </row>
    <row r="3325" spans="11:14">
      <c r="K3325" s="1475"/>
    </row>
    <row r="3326" spans="11:14">
      <c r="K3326" s="1475"/>
    </row>
    <row r="3327" spans="11:14">
      <c r="K3327" s="1475"/>
    </row>
    <row r="3328" spans="11:14">
      <c r="K3328" s="1475"/>
    </row>
    <row r="3329" spans="11:11">
      <c r="K3329" s="1475"/>
    </row>
    <row r="3330" spans="11:11">
      <c r="K3330" s="1475"/>
    </row>
    <row r="3331" spans="11:11">
      <c r="K3331" s="1475"/>
    </row>
    <row r="3332" spans="11:11">
      <c r="K3332" s="1475"/>
    </row>
    <row r="3333" spans="11:11">
      <c r="K3333" s="1475"/>
    </row>
    <row r="3334" spans="11:11">
      <c r="K3334" s="1475"/>
    </row>
    <row r="3335" spans="11:11">
      <c r="K3335" s="1475"/>
    </row>
    <row r="3336" spans="11:11">
      <c r="K3336" s="1475"/>
    </row>
    <row r="3337" spans="11:11">
      <c r="K3337" s="1475"/>
    </row>
    <row r="3338" spans="11:11">
      <c r="K3338" s="1475"/>
    </row>
    <row r="3339" spans="11:11">
      <c r="K3339" s="1475"/>
    </row>
    <row r="3340" spans="11:11">
      <c r="K3340" s="1475"/>
    </row>
    <row r="3341" spans="11:11">
      <c r="K3341" s="1475"/>
    </row>
    <row r="3342" spans="11:11">
      <c r="K3342" s="1475"/>
    </row>
    <row r="3343" spans="11:11">
      <c r="K3343" s="1475"/>
    </row>
    <row r="3344" spans="11:11">
      <c r="K3344" s="1475"/>
    </row>
    <row r="3345" spans="11:11">
      <c r="K3345" s="1475"/>
    </row>
    <row r="3346" spans="11:11">
      <c r="K3346" s="1475"/>
    </row>
    <row r="3347" spans="11:11">
      <c r="K3347" s="1475"/>
    </row>
    <row r="3348" spans="11:11">
      <c r="K3348" s="1475"/>
    </row>
    <row r="3349" spans="11:11">
      <c r="K3349" s="1475"/>
    </row>
    <row r="3350" spans="11:11">
      <c r="K3350" s="1475"/>
    </row>
    <row r="3351" spans="11:11">
      <c r="K3351" s="1475"/>
    </row>
    <row r="3352" spans="11:11">
      <c r="K3352" s="1475"/>
    </row>
    <row r="3353" spans="11:11">
      <c r="K3353" s="1475"/>
    </row>
    <row r="3354" spans="11:11">
      <c r="K3354" s="1475"/>
    </row>
    <row r="3355" spans="11:11">
      <c r="K3355" s="1475"/>
    </row>
    <row r="3356" spans="11:11">
      <c r="K3356" s="1475"/>
    </row>
    <row r="3357" spans="11:11">
      <c r="K3357" s="1475"/>
    </row>
    <row r="3358" spans="11:11">
      <c r="K3358" s="1475"/>
    </row>
    <row r="3359" spans="11:11">
      <c r="K3359" s="1475"/>
    </row>
    <row r="3360" spans="11:11">
      <c r="K3360" s="1475"/>
    </row>
    <row r="3361" spans="11:11">
      <c r="K3361" s="1475"/>
    </row>
    <row r="3362" spans="11:11">
      <c r="K3362" s="1475"/>
    </row>
    <row r="3363" spans="11:11">
      <c r="K3363" s="1475"/>
    </row>
    <row r="3364" spans="11:11">
      <c r="K3364" s="1475"/>
    </row>
    <row r="3365" spans="11:11">
      <c r="K3365" s="1475"/>
    </row>
    <row r="3366" spans="11:11">
      <c r="K3366" s="1475"/>
    </row>
    <row r="3367" spans="11:11">
      <c r="K3367" s="1475"/>
    </row>
    <row r="3368" spans="11:11">
      <c r="K3368" s="1475"/>
    </row>
    <row r="3369" spans="11:11">
      <c r="K3369" s="1475"/>
    </row>
    <row r="3370" spans="11:11">
      <c r="K3370" s="1475"/>
    </row>
    <row r="3371" spans="11:11">
      <c r="K3371" s="1475"/>
    </row>
    <row r="3372" spans="11:11">
      <c r="K3372" s="1475"/>
    </row>
    <row r="3373" spans="11:11">
      <c r="K3373" s="1475"/>
    </row>
    <row r="3374" spans="11:11">
      <c r="K3374" s="1475"/>
    </row>
    <row r="3375" spans="11:11">
      <c r="K3375" s="1475"/>
    </row>
    <row r="3376" spans="11:11">
      <c r="K3376" s="1475"/>
    </row>
    <row r="3377" spans="11:11">
      <c r="K3377" s="1475"/>
    </row>
    <row r="3378" spans="11:11">
      <c r="K3378" s="1475"/>
    </row>
    <row r="3379" spans="11:11">
      <c r="K3379" s="1475"/>
    </row>
    <row r="3380" spans="11:11">
      <c r="K3380" s="1475"/>
    </row>
    <row r="3381" spans="11:11">
      <c r="K3381" s="1475"/>
    </row>
    <row r="3382" spans="11:11">
      <c r="K3382" s="1475"/>
    </row>
    <row r="3383" spans="11:11">
      <c r="K3383" s="1475"/>
    </row>
    <row r="3384" spans="11:11">
      <c r="K3384" s="1475"/>
    </row>
    <row r="3385" spans="11:11">
      <c r="K3385" s="1475"/>
    </row>
    <row r="3386" spans="11:11">
      <c r="K3386" s="1475"/>
    </row>
    <row r="3387" spans="11:11">
      <c r="K3387" s="1475"/>
    </row>
    <row r="3388" spans="11:11">
      <c r="K3388" s="1475"/>
    </row>
    <row r="3389" spans="11:11">
      <c r="K3389" s="1475"/>
    </row>
    <row r="3390" spans="11:11">
      <c r="K3390" s="1475"/>
    </row>
    <row r="3391" spans="11:11">
      <c r="K3391" s="1475"/>
    </row>
    <row r="3392" spans="11:11">
      <c r="K3392" s="1475"/>
    </row>
    <row r="3393" spans="11:11">
      <c r="K3393" s="1475"/>
    </row>
    <row r="3394" spans="11:11">
      <c r="K3394" s="1475"/>
    </row>
    <row r="3395" spans="11:11">
      <c r="K3395" s="1475"/>
    </row>
    <row r="3396" spans="11:11">
      <c r="K3396" s="1475"/>
    </row>
    <row r="3397" spans="11:11">
      <c r="K3397" s="1475"/>
    </row>
    <row r="3398" spans="11:11">
      <c r="K3398" s="1475"/>
    </row>
    <row r="3399" spans="11:11">
      <c r="K3399" s="1475"/>
    </row>
    <row r="3400" spans="11:11">
      <c r="K3400" s="1475"/>
    </row>
    <row r="3401" spans="11:11">
      <c r="K3401" s="1475"/>
    </row>
    <row r="3402" spans="11:11">
      <c r="K3402" s="1475"/>
    </row>
    <row r="3403" spans="11:11">
      <c r="K3403" s="1475"/>
    </row>
    <row r="3404" spans="11:11">
      <c r="K3404" s="1475"/>
    </row>
    <row r="3405" spans="11:11">
      <c r="K3405" s="1475"/>
    </row>
    <row r="3406" spans="11:11">
      <c r="K3406" s="1475"/>
    </row>
    <row r="3407" spans="11:11">
      <c r="K3407" s="1475"/>
    </row>
    <row r="3408" spans="11:11">
      <c r="K3408" s="1475"/>
    </row>
    <row r="3409" spans="11:11">
      <c r="K3409" s="1475"/>
    </row>
    <row r="3410" spans="11:11">
      <c r="K3410" s="1475"/>
    </row>
    <row r="3411" spans="11:11">
      <c r="K3411" s="1475"/>
    </row>
    <row r="3412" spans="11:11">
      <c r="K3412" s="1475"/>
    </row>
    <row r="3413" spans="11:11">
      <c r="K3413" s="1475"/>
    </row>
    <row r="3414" spans="11:11">
      <c r="K3414" s="1475"/>
    </row>
    <row r="3415" spans="11:11">
      <c r="K3415" s="1475"/>
    </row>
    <row r="3416" spans="11:11">
      <c r="K3416" s="1475"/>
    </row>
    <row r="3417" spans="11:11">
      <c r="K3417" s="1475"/>
    </row>
    <row r="3418" spans="11:11">
      <c r="K3418" s="1475"/>
    </row>
    <row r="3419" spans="11:11">
      <c r="K3419" s="1475"/>
    </row>
    <row r="3420" spans="11:11">
      <c r="K3420" s="1475"/>
    </row>
    <row r="3421" spans="11:11">
      <c r="K3421" s="1475"/>
    </row>
    <row r="3422" spans="11:11">
      <c r="K3422" s="1475"/>
    </row>
    <row r="3423" spans="11:11">
      <c r="K3423" s="1475"/>
    </row>
    <row r="3424" spans="11:11">
      <c r="K3424" s="1475"/>
    </row>
    <row r="3425" spans="11:11">
      <c r="K3425" s="1475"/>
    </row>
    <row r="3426" spans="11:11">
      <c r="K3426" s="1475"/>
    </row>
    <row r="3427" spans="11:11">
      <c r="K3427" s="1475"/>
    </row>
    <row r="3428" spans="11:11">
      <c r="K3428" s="1475"/>
    </row>
    <row r="3429" spans="11:11">
      <c r="K3429" s="1475"/>
    </row>
    <row r="3430" spans="11:11">
      <c r="K3430" s="1475"/>
    </row>
    <row r="3431" spans="11:11">
      <c r="K3431" s="1475"/>
    </row>
    <row r="3432" spans="11:11">
      <c r="K3432" s="1475"/>
    </row>
    <row r="3433" spans="11:11">
      <c r="K3433" s="1475"/>
    </row>
    <row r="3434" spans="11:11">
      <c r="K3434" s="1475"/>
    </row>
    <row r="3435" spans="11:11">
      <c r="K3435" s="1475"/>
    </row>
    <row r="3436" spans="11:11">
      <c r="K3436" s="1475"/>
    </row>
    <row r="3437" spans="11:11">
      <c r="K3437" s="1475"/>
    </row>
    <row r="3438" spans="11:11">
      <c r="K3438" s="1475"/>
    </row>
    <row r="3439" spans="11:11">
      <c r="K3439" s="1475"/>
    </row>
    <row r="3440" spans="11:11">
      <c r="K3440" s="1475"/>
    </row>
    <row r="3441" spans="11:11">
      <c r="K3441" s="1475"/>
    </row>
    <row r="3442" spans="11:11">
      <c r="K3442" s="1475"/>
    </row>
    <row r="3443" spans="11:11">
      <c r="K3443" s="1475"/>
    </row>
    <row r="3444" spans="11:11">
      <c r="K3444" s="1475"/>
    </row>
    <row r="3445" spans="11:11">
      <c r="K3445" s="1475"/>
    </row>
    <row r="3446" spans="11:11">
      <c r="K3446" s="1475"/>
    </row>
    <row r="3447" spans="11:11">
      <c r="K3447" s="1475"/>
    </row>
    <row r="3448" spans="11:11">
      <c r="K3448" s="1475"/>
    </row>
    <row r="3449" spans="11:11">
      <c r="K3449" s="1475"/>
    </row>
    <row r="3450" spans="11:11">
      <c r="K3450" s="1475"/>
    </row>
    <row r="3451" spans="11:11">
      <c r="K3451" s="1475"/>
    </row>
    <row r="3452" spans="11:11">
      <c r="K3452" s="1475"/>
    </row>
    <row r="3453" spans="11:11">
      <c r="K3453" s="1475"/>
    </row>
    <row r="3454" spans="11:11">
      <c r="K3454" s="1475"/>
    </row>
    <row r="3455" spans="11:11">
      <c r="K3455" s="1475"/>
    </row>
    <row r="3456" spans="11:11">
      <c r="K3456" s="1475"/>
    </row>
    <row r="3457" spans="11:11">
      <c r="K3457" s="1475"/>
    </row>
    <row r="3458" spans="11:11">
      <c r="K3458" s="1475"/>
    </row>
    <row r="3459" spans="11:11">
      <c r="K3459" s="1475"/>
    </row>
    <row r="3460" spans="11:11">
      <c r="K3460" s="1475"/>
    </row>
    <row r="3461" spans="11:11">
      <c r="K3461" s="1475"/>
    </row>
    <row r="3462" spans="11:11">
      <c r="K3462" s="1475"/>
    </row>
    <row r="3463" spans="11:11">
      <c r="K3463" s="1475"/>
    </row>
    <row r="3464" spans="11:11">
      <c r="K3464" s="1475"/>
    </row>
    <row r="3465" spans="11:11">
      <c r="K3465" s="1475"/>
    </row>
    <row r="3466" spans="11:11">
      <c r="K3466" s="1475"/>
    </row>
    <row r="3467" spans="11:11">
      <c r="K3467" s="1475"/>
    </row>
    <row r="3468" spans="11:11">
      <c r="K3468" s="1475"/>
    </row>
    <row r="3469" spans="11:11">
      <c r="K3469" s="1475"/>
    </row>
    <row r="3470" spans="11:11">
      <c r="K3470" s="1475"/>
    </row>
    <row r="3471" spans="11:11">
      <c r="K3471" s="1475"/>
    </row>
    <row r="3472" spans="11:11">
      <c r="K3472" s="1475"/>
    </row>
    <row r="3473" spans="11:11">
      <c r="K3473" s="1475"/>
    </row>
    <row r="3474" spans="11:11">
      <c r="K3474" s="1475"/>
    </row>
    <row r="3475" spans="11:11">
      <c r="K3475" s="1475"/>
    </row>
    <row r="3476" spans="11:11">
      <c r="K3476" s="1475"/>
    </row>
    <row r="3477" spans="11:11">
      <c r="K3477" s="1475"/>
    </row>
    <row r="3478" spans="11:11">
      <c r="K3478" s="1475"/>
    </row>
    <row r="3479" spans="11:11">
      <c r="K3479" s="1475"/>
    </row>
    <row r="3480" spans="11:11">
      <c r="K3480" s="1475"/>
    </row>
    <row r="3481" spans="11:11">
      <c r="K3481" s="1475"/>
    </row>
    <row r="3482" spans="11:11">
      <c r="K3482" s="1475"/>
    </row>
    <row r="3483" spans="11:11">
      <c r="K3483" s="1475"/>
    </row>
    <row r="3484" spans="11:11">
      <c r="K3484" s="1475"/>
    </row>
    <row r="3485" spans="11:11">
      <c r="K3485" s="1475"/>
    </row>
    <row r="3486" spans="11:11">
      <c r="K3486" s="1475"/>
    </row>
    <row r="3487" spans="11:11">
      <c r="K3487" s="1475"/>
    </row>
    <row r="3488" spans="11:11">
      <c r="K3488" s="1475"/>
    </row>
    <row r="3489" spans="11:11">
      <c r="K3489" s="1475"/>
    </row>
    <row r="3490" spans="11:11">
      <c r="K3490" s="1475"/>
    </row>
    <row r="3491" spans="11:11">
      <c r="K3491" s="1475"/>
    </row>
    <row r="3492" spans="11:11">
      <c r="K3492" s="1475"/>
    </row>
    <row r="3493" spans="11:11">
      <c r="K3493" s="1475"/>
    </row>
    <row r="3494" spans="11:11">
      <c r="K3494" s="1475"/>
    </row>
    <row r="3495" spans="11:11">
      <c r="K3495" s="1475"/>
    </row>
    <row r="3496" spans="11:11">
      <c r="K3496" s="1475"/>
    </row>
    <row r="3497" spans="11:11">
      <c r="K3497" s="1475"/>
    </row>
    <row r="3498" spans="11:11">
      <c r="K3498" s="1475"/>
    </row>
    <row r="3499" spans="11:11">
      <c r="K3499" s="1475"/>
    </row>
    <row r="3500" spans="11:11">
      <c r="K3500" s="1475"/>
    </row>
    <row r="3501" spans="11:11">
      <c r="K3501" s="1475"/>
    </row>
    <row r="3502" spans="11:11">
      <c r="K3502" s="1475"/>
    </row>
    <row r="3503" spans="11:11">
      <c r="K3503" s="1475"/>
    </row>
    <row r="3504" spans="11:11">
      <c r="K3504" s="1475"/>
    </row>
    <row r="3505" spans="11:11">
      <c r="K3505" s="1475"/>
    </row>
    <row r="3506" spans="11:11">
      <c r="K3506" s="1475"/>
    </row>
    <row r="3507" spans="11:11">
      <c r="K3507" s="1475"/>
    </row>
    <row r="3508" spans="11:11">
      <c r="K3508" s="1475"/>
    </row>
    <row r="3509" spans="11:11">
      <c r="K3509" s="1475"/>
    </row>
    <row r="3510" spans="11:11">
      <c r="K3510" s="1475"/>
    </row>
    <row r="3511" spans="11:11">
      <c r="K3511" s="1475"/>
    </row>
    <row r="3512" spans="11:11">
      <c r="K3512" s="1475"/>
    </row>
    <row r="3513" spans="11:11">
      <c r="K3513" s="1475"/>
    </row>
    <row r="3514" spans="11:11">
      <c r="K3514" s="1475"/>
    </row>
    <row r="3515" spans="11:11">
      <c r="K3515" s="1475"/>
    </row>
    <row r="3516" spans="11:11">
      <c r="K3516" s="1475"/>
    </row>
    <row r="3517" spans="11:11">
      <c r="K3517" s="1475"/>
    </row>
    <row r="3518" spans="11:11">
      <c r="K3518" s="1475"/>
    </row>
    <row r="3519" spans="11:11">
      <c r="K3519" s="1475"/>
    </row>
    <row r="3520" spans="11:11">
      <c r="K3520" s="1475"/>
    </row>
    <row r="3521" spans="11:11">
      <c r="K3521" s="1475"/>
    </row>
    <row r="3522" spans="11:11">
      <c r="K3522" s="1475"/>
    </row>
    <row r="3523" spans="11:11">
      <c r="K3523" s="1475"/>
    </row>
    <row r="3524" spans="11:11">
      <c r="K3524" s="1475"/>
    </row>
    <row r="3525" spans="11:11">
      <c r="K3525" s="1475"/>
    </row>
    <row r="3526" spans="11:11">
      <c r="K3526" s="1475"/>
    </row>
    <row r="3527" spans="11:11">
      <c r="K3527" s="1475"/>
    </row>
    <row r="3528" spans="11:11">
      <c r="K3528" s="1475"/>
    </row>
    <row r="3529" spans="11:11">
      <c r="K3529" s="1475"/>
    </row>
    <row r="3530" spans="11:11">
      <c r="K3530" s="1475"/>
    </row>
    <row r="3531" spans="11:11">
      <c r="K3531" s="1475"/>
    </row>
    <row r="3532" spans="11:11">
      <c r="K3532" s="1475"/>
    </row>
    <row r="3533" spans="11:11">
      <c r="K3533" s="1475"/>
    </row>
    <row r="3534" spans="11:11">
      <c r="K3534" s="1475"/>
    </row>
    <row r="3535" spans="11:11">
      <c r="K3535" s="1475"/>
    </row>
    <row r="3536" spans="11:11">
      <c r="K3536" s="1475"/>
    </row>
    <row r="3537" spans="11:11">
      <c r="K3537" s="1475"/>
    </row>
    <row r="3538" spans="11:11">
      <c r="K3538" s="1475"/>
    </row>
    <row r="3539" spans="11:11">
      <c r="K3539" s="1475"/>
    </row>
    <row r="3540" spans="11:11">
      <c r="K3540" s="1475"/>
    </row>
    <row r="3541" spans="11:11">
      <c r="K3541" s="1475"/>
    </row>
    <row r="3542" spans="11:11">
      <c r="K3542" s="1475"/>
    </row>
    <row r="3543" spans="11:11">
      <c r="K3543" s="1475"/>
    </row>
    <row r="3544" spans="11:11">
      <c r="K3544" s="1475"/>
    </row>
    <row r="3545" spans="11:11">
      <c r="K3545" s="1475"/>
    </row>
    <row r="3546" spans="11:11">
      <c r="K3546" s="1475"/>
    </row>
    <row r="3547" spans="11:11">
      <c r="K3547" s="1475"/>
    </row>
    <row r="3548" spans="11:11">
      <c r="K3548" s="1475"/>
    </row>
    <row r="3549" spans="11:11">
      <c r="K3549" s="1475"/>
    </row>
    <row r="3550" spans="11:11">
      <c r="K3550" s="1475"/>
    </row>
    <row r="3551" spans="11:11">
      <c r="K3551" s="1475"/>
    </row>
    <row r="3552" spans="11:11">
      <c r="K3552" s="1475"/>
    </row>
    <row r="3553" spans="11:11">
      <c r="K3553" s="1475"/>
    </row>
    <row r="3554" spans="11:11">
      <c r="K3554" s="1475"/>
    </row>
    <row r="3555" spans="11:11">
      <c r="K3555" s="1475"/>
    </row>
    <row r="3556" spans="11:11">
      <c r="K3556" s="1475"/>
    </row>
    <row r="3557" spans="11:11">
      <c r="K3557" s="1475"/>
    </row>
    <row r="3558" spans="11:11">
      <c r="K3558" s="1475"/>
    </row>
    <row r="3559" spans="11:11">
      <c r="K3559" s="1475"/>
    </row>
    <row r="3560" spans="11:11">
      <c r="K3560" s="1475"/>
    </row>
    <row r="3561" spans="11:11">
      <c r="K3561" s="1475"/>
    </row>
    <row r="3562" spans="11:11">
      <c r="K3562" s="1475"/>
    </row>
    <row r="3563" spans="11:11">
      <c r="K3563" s="1475"/>
    </row>
    <row r="3564" spans="11:11">
      <c r="K3564" s="1475"/>
    </row>
    <row r="3565" spans="11:11">
      <c r="K3565" s="1475"/>
    </row>
    <row r="3566" spans="11:11">
      <c r="K3566" s="1475"/>
    </row>
    <row r="3567" spans="11:11">
      <c r="K3567" s="1475"/>
    </row>
    <row r="3568" spans="11:11">
      <c r="K3568" s="1475"/>
    </row>
    <row r="3569" spans="11:11">
      <c r="K3569" s="1475"/>
    </row>
    <row r="3570" spans="11:11">
      <c r="K3570" s="1475"/>
    </row>
    <row r="3571" spans="11:11">
      <c r="K3571" s="1475"/>
    </row>
    <row r="3572" spans="11:11">
      <c r="K3572" s="1475"/>
    </row>
    <row r="3573" spans="11:11">
      <c r="K3573" s="1475"/>
    </row>
    <row r="3574" spans="11:11">
      <c r="K3574" s="1475"/>
    </row>
    <row r="3575" spans="11:11">
      <c r="K3575" s="1475"/>
    </row>
    <row r="3576" spans="11:11">
      <c r="K3576" s="1475"/>
    </row>
    <row r="3577" spans="11:11">
      <c r="K3577" s="1475"/>
    </row>
    <row r="3578" spans="11:11">
      <c r="K3578" s="1475"/>
    </row>
    <row r="3579" spans="11:11">
      <c r="K3579" s="1475"/>
    </row>
    <row r="3580" spans="11:11">
      <c r="K3580" s="1475"/>
    </row>
    <row r="3581" spans="11:11">
      <c r="K3581" s="1475"/>
    </row>
    <row r="3582" spans="11:11">
      <c r="K3582" s="1475"/>
    </row>
    <row r="3583" spans="11:11">
      <c r="K3583" s="1475"/>
    </row>
    <row r="3584" spans="11:11">
      <c r="K3584" s="1475"/>
    </row>
    <row r="3585" spans="11:11">
      <c r="K3585" s="1475"/>
    </row>
    <row r="3586" spans="11:11">
      <c r="K3586" s="1475"/>
    </row>
    <row r="3587" spans="11:11">
      <c r="K3587" s="1475"/>
    </row>
    <row r="3588" spans="11:11">
      <c r="K3588" s="1475"/>
    </row>
    <row r="3589" spans="11:11">
      <c r="K3589" s="1475"/>
    </row>
    <row r="3590" spans="11:11">
      <c r="K3590" s="1475"/>
    </row>
    <row r="3591" spans="11:11">
      <c r="K3591" s="1475"/>
    </row>
    <row r="3592" spans="11:11">
      <c r="K3592" s="1475"/>
    </row>
    <row r="3593" spans="11:11">
      <c r="K3593" s="1475"/>
    </row>
    <row r="3594" spans="11:11">
      <c r="K3594" s="1475"/>
    </row>
    <row r="3595" spans="11:11">
      <c r="K3595" s="1475"/>
    </row>
    <row r="3596" spans="11:11">
      <c r="K3596" s="1475"/>
    </row>
    <row r="3597" spans="11:11">
      <c r="K3597" s="1475"/>
    </row>
    <row r="3598" spans="11:11">
      <c r="K3598" s="1475"/>
    </row>
    <row r="3599" spans="11:11">
      <c r="K3599" s="1475"/>
    </row>
    <row r="3600" spans="11:11">
      <c r="K3600" s="1475"/>
    </row>
    <row r="3601" spans="11:11">
      <c r="K3601" s="1475"/>
    </row>
    <row r="3602" spans="11:11">
      <c r="K3602" s="1475"/>
    </row>
    <row r="3603" spans="11:11">
      <c r="K3603" s="1475"/>
    </row>
    <row r="3604" spans="11:11">
      <c r="K3604" s="1475"/>
    </row>
    <row r="3605" spans="11:11">
      <c r="K3605" s="1475"/>
    </row>
    <row r="3606" spans="11:11">
      <c r="K3606" s="1475"/>
    </row>
    <row r="3607" spans="11:11">
      <c r="K3607" s="1475"/>
    </row>
    <row r="3608" spans="11:11">
      <c r="K3608" s="1475"/>
    </row>
    <row r="3609" spans="11:11">
      <c r="K3609" s="1475"/>
    </row>
    <row r="3610" spans="11:11">
      <c r="K3610" s="1475"/>
    </row>
    <row r="3611" spans="11:11">
      <c r="K3611" s="1475"/>
    </row>
    <row r="3612" spans="11:11">
      <c r="K3612" s="1475"/>
    </row>
    <row r="3613" spans="11:11">
      <c r="K3613" s="1475"/>
    </row>
    <row r="3614" spans="11:11">
      <c r="K3614" s="1475"/>
    </row>
    <row r="3615" spans="11:11">
      <c r="K3615" s="1475"/>
    </row>
    <row r="3616" spans="11:11">
      <c r="K3616" s="1475"/>
    </row>
    <row r="3617" spans="11:11">
      <c r="K3617" s="1475"/>
    </row>
    <row r="3618" spans="11:11">
      <c r="K3618" s="1475"/>
    </row>
    <row r="3619" spans="11:11">
      <c r="K3619" s="1475"/>
    </row>
    <row r="3620" spans="11:11">
      <c r="K3620" s="1475"/>
    </row>
    <row r="3621" spans="11:11">
      <c r="K3621" s="1475"/>
    </row>
    <row r="3622" spans="11:11">
      <c r="K3622" s="1475"/>
    </row>
    <row r="3623" spans="11:11">
      <c r="K3623" s="1475"/>
    </row>
    <row r="3624" spans="11:11">
      <c r="K3624" s="1475"/>
    </row>
    <row r="3625" spans="11:11">
      <c r="K3625" s="1475"/>
    </row>
    <row r="3626" spans="11:11">
      <c r="K3626" s="1475"/>
    </row>
    <row r="3627" spans="11:11">
      <c r="K3627" s="1475"/>
    </row>
    <row r="3628" spans="11:11">
      <c r="K3628" s="1475"/>
    </row>
    <row r="3629" spans="11:11">
      <c r="K3629" s="1475"/>
    </row>
    <row r="3630" spans="11:11">
      <c r="K3630" s="1475"/>
    </row>
    <row r="3631" spans="11:11">
      <c r="K3631" s="1475"/>
    </row>
    <row r="3632" spans="11:11">
      <c r="K3632" s="1475"/>
    </row>
    <row r="3633" spans="11:11">
      <c r="K3633" s="1475"/>
    </row>
    <row r="3634" spans="11:11">
      <c r="K3634" s="1475"/>
    </row>
    <row r="3635" spans="11:11">
      <c r="K3635" s="1475"/>
    </row>
    <row r="3636" spans="11:11">
      <c r="K3636" s="1475"/>
    </row>
    <row r="3637" spans="11:11">
      <c r="K3637" s="1475"/>
    </row>
    <row r="3638" spans="11:11">
      <c r="K3638" s="1475"/>
    </row>
    <row r="3639" spans="11:11">
      <c r="K3639" s="1475"/>
    </row>
    <row r="3640" spans="11:11">
      <c r="K3640" s="1475"/>
    </row>
    <row r="3641" spans="11:11">
      <c r="K3641" s="1475"/>
    </row>
    <row r="3642" spans="11:11">
      <c r="K3642" s="1475"/>
    </row>
    <row r="3643" spans="11:11">
      <c r="K3643" s="1475"/>
    </row>
    <row r="3644" spans="11:11">
      <c r="K3644" s="1475"/>
    </row>
    <row r="3645" spans="11:11">
      <c r="K3645" s="1475"/>
    </row>
    <row r="3646" spans="11:11">
      <c r="K3646" s="1475"/>
    </row>
    <row r="3647" spans="11:11">
      <c r="K3647" s="1475"/>
    </row>
    <row r="3648" spans="11:11">
      <c r="K3648" s="1475"/>
    </row>
    <row r="3649" spans="11:11">
      <c r="K3649" s="1475"/>
    </row>
    <row r="3650" spans="11:11">
      <c r="K3650" s="1475"/>
    </row>
    <row r="3651" spans="11:11">
      <c r="K3651" s="1475"/>
    </row>
    <row r="3652" spans="11:11">
      <c r="K3652" s="1475"/>
    </row>
    <row r="3653" spans="11:11">
      <c r="K3653" s="1475"/>
    </row>
    <row r="3654" spans="11:11">
      <c r="K3654" s="1475"/>
    </row>
    <row r="3655" spans="11:11">
      <c r="K3655" s="1475"/>
    </row>
    <row r="3656" spans="11:11">
      <c r="K3656" s="1475"/>
    </row>
    <row r="3657" spans="11:11">
      <c r="K3657" s="1475"/>
    </row>
    <row r="3658" spans="11:11">
      <c r="K3658" s="1475"/>
    </row>
    <row r="3659" spans="11:11">
      <c r="K3659" s="1475"/>
    </row>
    <row r="3660" spans="11:11">
      <c r="K3660" s="1475"/>
    </row>
    <row r="3661" spans="11:11">
      <c r="K3661" s="1475"/>
    </row>
    <row r="3662" spans="11:11">
      <c r="K3662" s="1475"/>
    </row>
    <row r="3663" spans="11:11">
      <c r="K3663" s="1475"/>
    </row>
    <row r="3664" spans="11:11">
      <c r="K3664" s="1475"/>
    </row>
    <row r="3665" spans="11:11">
      <c r="K3665" s="1475"/>
    </row>
    <row r="3666" spans="11:11">
      <c r="K3666" s="1475"/>
    </row>
    <row r="3667" spans="11:11">
      <c r="K3667" s="1475"/>
    </row>
    <row r="3668" spans="11:11">
      <c r="K3668" s="1475"/>
    </row>
    <row r="3669" spans="11:11">
      <c r="K3669" s="1475"/>
    </row>
    <row r="3670" spans="11:11">
      <c r="K3670" s="1475"/>
    </row>
    <row r="3671" spans="11:11">
      <c r="K3671" s="1475"/>
    </row>
    <row r="3672" spans="11:11">
      <c r="K3672" s="1475"/>
    </row>
    <row r="3673" spans="11:11">
      <c r="K3673" s="1475"/>
    </row>
    <row r="3674" spans="11:11">
      <c r="K3674" s="1475"/>
    </row>
    <row r="3675" spans="11:11">
      <c r="K3675" s="1475"/>
    </row>
    <row r="3676" spans="11:11">
      <c r="K3676" s="1475"/>
    </row>
    <row r="3677" spans="11:11">
      <c r="K3677" s="1475"/>
    </row>
    <row r="3678" spans="11:11">
      <c r="K3678" s="1475"/>
    </row>
    <row r="3679" spans="11:11">
      <c r="K3679" s="1475"/>
    </row>
    <row r="3680" spans="11:11">
      <c r="K3680" s="1475"/>
    </row>
    <row r="3681" spans="11:11">
      <c r="K3681" s="1475"/>
    </row>
    <row r="3682" spans="11:11">
      <c r="K3682" s="1475"/>
    </row>
    <row r="3683" spans="11:11">
      <c r="K3683" s="1475"/>
    </row>
    <row r="3684" spans="11:11">
      <c r="K3684" s="1475"/>
    </row>
    <row r="3685" spans="11:11">
      <c r="K3685" s="1475"/>
    </row>
    <row r="3686" spans="11:11">
      <c r="K3686" s="1475"/>
    </row>
    <row r="3687" spans="11:11">
      <c r="K3687" s="1475"/>
    </row>
    <row r="3688" spans="11:11">
      <c r="K3688" s="1475"/>
    </row>
    <row r="3689" spans="11:11">
      <c r="K3689" s="1475"/>
    </row>
    <row r="3690" spans="11:11">
      <c r="K3690" s="1475"/>
    </row>
    <row r="3691" spans="11:11">
      <c r="K3691" s="1475"/>
    </row>
    <row r="3692" spans="11:11">
      <c r="K3692" s="1475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workbookViewId="0"/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7" t="s">
        <v>2202</v>
      </c>
      <c r="B9" s="1587" t="s">
        <v>2203</v>
      </c>
      <c r="C9" s="1587"/>
      <c r="D9" s="1587" t="s">
        <v>2204</v>
      </c>
      <c r="E9" s="1705" t="s">
        <v>2229</v>
      </c>
      <c r="F9" s="1705" t="s">
        <v>2228</v>
      </c>
      <c r="G9" s="1705" t="s">
        <v>36</v>
      </c>
    </row>
    <row r="10" spans="1:11">
      <c r="A10" s="1873" t="s">
        <v>753</v>
      </c>
      <c r="B10" s="1873" t="s">
        <v>2077</v>
      </c>
      <c r="C10" s="1588">
        <v>12</v>
      </c>
      <c r="D10" s="1588" t="s">
        <v>2036</v>
      </c>
      <c r="E10" s="1706">
        <f>Encargos!I20</f>
        <v>0</v>
      </c>
      <c r="F10" s="1706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06">
        <f>(SUMIFS(Financeiros[Valor],Financeiros[iddet1],19,Financeiros[iddet2],60,Financeiros[id_Detalhe_Grupo_TARIFA],C10))</f>
        <v>0</v>
      </c>
      <c r="K10" s="9"/>
    </row>
    <row r="11" spans="1:11">
      <c r="A11" s="1874"/>
      <c r="B11" s="1873"/>
      <c r="C11" s="1588">
        <v>14</v>
      </c>
      <c r="D11" s="1588" t="s">
        <v>40</v>
      </c>
      <c r="E11" s="1706">
        <f ca="1">Resultado!D17</f>
        <v>9837.212867354101</v>
      </c>
      <c r="F11" s="1706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173.53224665300522</v>
      </c>
      <c r="G11" s="1706">
        <f>(SUMIFS(Financeiros[Valor],Financeiros[iddet1],19,Financeiros[iddet2],60,Financeiros[id_Detalhe_Grupo_TARIFA],C11))</f>
        <v>0</v>
      </c>
    </row>
    <row r="12" spans="1:11">
      <c r="A12" s="1874"/>
      <c r="B12" s="1873"/>
      <c r="C12" s="1588">
        <v>19</v>
      </c>
      <c r="D12" s="1588" t="s">
        <v>48</v>
      </c>
      <c r="E12" s="1706">
        <f ca="1">Resultado!D22-E38</f>
        <v>0</v>
      </c>
      <c r="F12" s="1706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06">
        <f>(SUMIFS(Financeiros[Valor],Financeiros[iddet1],19,Financeiros[iddet2],60,Financeiros[id_Detalhe_Grupo_TARIFA],C12))</f>
        <v>0</v>
      </c>
    </row>
    <row r="13" spans="1:11">
      <c r="A13" s="1874"/>
      <c r="B13" s="1873"/>
      <c r="C13" s="1588">
        <v>20</v>
      </c>
      <c r="D13" s="1588" t="s">
        <v>49</v>
      </c>
      <c r="E13" s="1706">
        <f>Resultado!D23</f>
        <v>0</v>
      </c>
      <c r="F13" s="1706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06">
        <f>(SUMIFS(Financeiros[Valor],Financeiros[iddet1],19,Financeiros[iddet2],60,Financeiros[id_Detalhe_Grupo_TARIFA],C13))</f>
        <v>0</v>
      </c>
    </row>
    <row r="14" spans="1:11">
      <c r="A14" s="1874"/>
      <c r="B14" s="1873"/>
      <c r="C14" s="1588">
        <v>13</v>
      </c>
      <c r="D14" s="1588" t="s">
        <v>39</v>
      </c>
      <c r="E14" s="1706">
        <f>Resultado!D16</f>
        <v>0</v>
      </c>
      <c r="F14" s="1706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06">
        <f>(SUMIFS(Financeiros[Valor],Financeiros[iddet1],19,Financeiros[iddet2],60,Financeiros[id_Detalhe_Grupo_TARIFA],C14))</f>
        <v>0</v>
      </c>
    </row>
    <row r="15" spans="1:11">
      <c r="A15" s="1874"/>
      <c r="B15" s="1873"/>
      <c r="C15" s="1588">
        <v>15</v>
      </c>
      <c r="D15" s="1588" t="s">
        <v>41</v>
      </c>
      <c r="E15" s="1706">
        <f ca="1">Encargos!I19</f>
        <v>774127.16399000003</v>
      </c>
      <c r="F15" s="1706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18158.155841082949</v>
      </c>
      <c r="G15" s="1706">
        <f>(SUMIFS(Financeiros[Valor],Financeiros[iddet1],19,Financeiros[iddet2],60,Financeiros[id_Detalhe_Grupo_TARIFA],C15))</f>
        <v>0</v>
      </c>
    </row>
    <row r="16" spans="1:11">
      <c r="A16" s="1874"/>
      <c r="B16" s="1873"/>
      <c r="C16" s="1588">
        <v>18</v>
      </c>
      <c r="D16" s="1588" t="s">
        <v>47</v>
      </c>
      <c r="E16" s="1706">
        <f ca="1">Resultado!D21</f>
        <v>133386.47937000002</v>
      </c>
      <c r="F16" s="1706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3312.513298166989</v>
      </c>
      <c r="G16" s="1706">
        <f>(SUMIFS(Financeiros[Valor],Financeiros[iddet1],19,Financeiros[iddet2],60,Financeiros[id_Detalhe_Grupo_TARIFA],C16))</f>
        <v>0</v>
      </c>
    </row>
    <row r="17" spans="1:7">
      <c r="A17" s="1874"/>
      <c r="B17" s="1873"/>
      <c r="C17" s="1588"/>
      <c r="D17" s="1588" t="s">
        <v>2205</v>
      </c>
      <c r="E17" s="1706">
        <v>0</v>
      </c>
      <c r="F17" s="1706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06">
        <v>0</v>
      </c>
    </row>
    <row r="18" spans="1:7">
      <c r="A18" s="1874"/>
      <c r="B18" s="1873"/>
      <c r="C18" s="1588"/>
      <c r="D18" s="1689" t="s">
        <v>2206</v>
      </c>
      <c r="E18" s="1706">
        <f ca="1">SUM(E10:E17)</f>
        <v>917350.85622735415</v>
      </c>
      <c r="F18" s="1706">
        <f t="shared" ref="F18:G18" ca="1" si="0">SUM(F10:F17)</f>
        <v>21644.201385902943</v>
      </c>
      <c r="G18" s="1706">
        <f t="shared" si="0"/>
        <v>0</v>
      </c>
    </row>
    <row r="19" spans="1:7">
      <c r="A19" s="1874"/>
      <c r="B19" s="1873" t="s">
        <v>2207</v>
      </c>
      <c r="C19" s="1588">
        <v>1</v>
      </c>
      <c r="D19" s="1588" t="s">
        <v>2208</v>
      </c>
      <c r="E19" s="1706">
        <f>Resultado!D25</f>
        <v>0</v>
      </c>
      <c r="F19" s="1706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06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4"/>
      <c r="B20" s="1873"/>
      <c r="C20" s="1588">
        <v>2</v>
      </c>
      <c r="D20" s="1588" t="s">
        <v>2209</v>
      </c>
      <c r="E20" s="1706">
        <f>Resultado!D26</f>
        <v>0</v>
      </c>
      <c r="F20" s="1706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06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4"/>
      <c r="B21" s="1873"/>
      <c r="C21" s="1588">
        <v>3</v>
      </c>
      <c r="D21" s="1588" t="s">
        <v>2210</v>
      </c>
      <c r="E21" s="1706">
        <f>Resultado!D31</f>
        <v>0</v>
      </c>
      <c r="F21" s="1706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06">
        <f>(SUMIFS(Financeiros[Valor],Financeiros[iddet1],19,Financeiros[iddet2],60,Financeiros[id_Detalhe_Grupo_TARIFA],C21))</f>
        <v>0</v>
      </c>
    </row>
    <row r="22" spans="1:7">
      <c r="A22" s="1874"/>
      <c r="B22" s="1873"/>
      <c r="C22" s="1588">
        <v>4</v>
      </c>
      <c r="D22" s="1588" t="s">
        <v>2211</v>
      </c>
      <c r="E22" s="1706">
        <f>0</f>
        <v>0</v>
      </c>
      <c r="F22" s="1706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06">
        <f>(SUMIFS(Financeiros[Valor],Financeiros[iddet1],19,Financeiros[iddet2],60,Financeiros[id_Detalhe_Grupo_TARIFA],C22))</f>
        <v>0</v>
      </c>
    </row>
    <row r="23" spans="1:7">
      <c r="A23" s="1874"/>
      <c r="B23" s="1873"/>
      <c r="C23" s="1588">
        <v>7</v>
      </c>
      <c r="D23" s="1588" t="s">
        <v>952</v>
      </c>
      <c r="E23" s="1706">
        <f>Resultado!D32</f>
        <v>733473.02962819999</v>
      </c>
      <c r="F23" s="1706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-272710.55965425074</v>
      </c>
      <c r="G23" s="1706">
        <f>(SUMIFS(Financeiros[Valor],Financeiros[iddet1],19,Financeiros[iddet2],60,Financeiros[id_Detalhe_Grupo_TARIFA],C23))</f>
        <v>0</v>
      </c>
    </row>
    <row r="24" spans="1:7">
      <c r="A24" s="1874"/>
      <c r="B24" s="1873"/>
      <c r="C24" s="1588">
        <v>6</v>
      </c>
      <c r="D24" s="1588" t="s">
        <v>2212</v>
      </c>
      <c r="E24" s="1706">
        <f>Resultado!D28</f>
        <v>0</v>
      </c>
      <c r="F24" s="1706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06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4"/>
      <c r="B25" s="1873"/>
      <c r="C25" s="1588">
        <v>5</v>
      </c>
      <c r="D25" s="1588" t="s">
        <v>2213</v>
      </c>
      <c r="E25" s="1706">
        <f>Resultado!D27</f>
        <v>0</v>
      </c>
      <c r="F25" s="1706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06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4"/>
      <c r="B26" s="1873"/>
      <c r="C26" s="1588"/>
      <c r="D26" s="1689" t="s">
        <v>2206</v>
      </c>
      <c r="E26" s="1706">
        <f>SUM(E19:E25)</f>
        <v>733473.02962819999</v>
      </c>
      <c r="F26" s="1706">
        <f t="shared" ref="F26:G26" si="1">SUM(F19:F25)</f>
        <v>-272710.55965425074</v>
      </c>
      <c r="G26" s="1706">
        <f t="shared" si="1"/>
        <v>0</v>
      </c>
    </row>
    <row r="27" spans="1:7">
      <c r="A27" s="1874"/>
      <c r="B27" s="1873" t="s">
        <v>2214</v>
      </c>
      <c r="C27" s="1588">
        <v>999</v>
      </c>
      <c r="D27" s="1588" t="s">
        <v>953</v>
      </c>
      <c r="E27" s="1706">
        <f>LnkTXTIParcelaBcomSub</f>
        <v>2400000</v>
      </c>
      <c r="F27" s="1706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-1242268.5927623026</v>
      </c>
      <c r="G27" s="1706">
        <v>0</v>
      </c>
    </row>
    <row r="28" spans="1:7">
      <c r="A28" s="1874"/>
      <c r="B28" s="1873"/>
      <c r="C28" s="1588"/>
      <c r="D28" s="1689" t="s">
        <v>2206</v>
      </c>
      <c r="E28" s="1706">
        <f>SUM(E27)</f>
        <v>2400000</v>
      </c>
      <c r="F28" s="1706">
        <f t="shared" ref="F28:G28" ca="1" si="2">SUM(F27)</f>
        <v>-1242268.5927623026</v>
      </c>
      <c r="G28" s="1706">
        <f t="shared" si="2"/>
        <v>0</v>
      </c>
    </row>
    <row r="29" spans="1:7">
      <c r="A29" s="1874"/>
      <c r="B29" s="1873" t="s">
        <v>2215</v>
      </c>
      <c r="C29" s="1588">
        <v>179</v>
      </c>
      <c r="D29" s="1588" t="s">
        <v>2216</v>
      </c>
      <c r="E29" s="1706">
        <v>0</v>
      </c>
      <c r="F29" s="1706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06">
        <v>0</v>
      </c>
    </row>
    <row r="30" spans="1:7">
      <c r="A30" s="1874"/>
      <c r="B30" s="1873"/>
      <c r="C30" s="1588"/>
      <c r="D30" s="1588" t="s">
        <v>949</v>
      </c>
      <c r="E30" s="1706">
        <v>0</v>
      </c>
      <c r="F30" s="1706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06">
        <v>0</v>
      </c>
    </row>
    <row r="31" spans="1:7">
      <c r="A31" s="1874"/>
      <c r="B31" s="1873"/>
      <c r="C31" s="1588"/>
      <c r="D31" s="1689" t="s">
        <v>2206</v>
      </c>
      <c r="E31" s="1706">
        <f>SUM(E29:E30)</f>
        <v>0</v>
      </c>
      <c r="F31" s="1706">
        <f t="shared" ref="F31:G31" ca="1" si="3">SUM(F29:F30)</f>
        <v>0</v>
      </c>
      <c r="G31" s="1706">
        <f t="shared" si="3"/>
        <v>0</v>
      </c>
    </row>
    <row r="32" spans="1:7">
      <c r="A32" s="1874"/>
      <c r="B32" s="1873" t="s">
        <v>2217</v>
      </c>
      <c r="C32" s="1588">
        <v>8</v>
      </c>
      <c r="D32" s="1588" t="s">
        <v>2218</v>
      </c>
      <c r="E32" s="1706">
        <f ca="1">Energia!D11*Energia!D14</f>
        <v>206186.05400818479</v>
      </c>
      <c r="F32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9497.6328222597913</v>
      </c>
      <c r="G32" s="1706">
        <f>(SUMIFS(Financeiros[Valor],Financeiros[iddet1],19,Financeiros[iddet2],60,Financeiros[id_Detalhe_Grupo_TARIFA],C32))</f>
        <v>0</v>
      </c>
    </row>
    <row r="33" spans="1:7">
      <c r="A33" s="1874"/>
      <c r="B33" s="1873"/>
      <c r="C33" s="1588">
        <v>10</v>
      </c>
      <c r="D33" s="1588" t="s">
        <v>2219</v>
      </c>
      <c r="E33" s="1706">
        <f ca="1">Energia!D12*Energia!D14</f>
        <v>1606.7112441730276</v>
      </c>
      <c r="F33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74.010599416902622</v>
      </c>
      <c r="G33" s="1706">
        <f>(SUMIFS(Financeiros[Valor],Financeiros[iddet1],19,Financeiros[iddet2],60,Financeiros[id_Detalhe_Grupo_TARIFA],C33))</f>
        <v>0</v>
      </c>
    </row>
    <row r="34" spans="1:7">
      <c r="A34" s="1874"/>
      <c r="B34" s="1873"/>
      <c r="C34" s="1588">
        <v>9</v>
      </c>
      <c r="D34" s="1588" t="s">
        <v>2220</v>
      </c>
      <c r="E34" s="1706">
        <f ca="1">Energia!D10*Energia!D14</f>
        <v>0</v>
      </c>
      <c r="F34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06">
        <f>(SUMIFS(Financeiros[Valor],Financeiros[iddet1],19,Financeiros[iddet2],60,Financeiros[id_Detalhe_Grupo_TARIFA],C34))</f>
        <v>0</v>
      </c>
    </row>
    <row r="35" spans="1:7">
      <c r="A35" s="1874"/>
      <c r="B35" s="1873"/>
      <c r="C35" s="1588">
        <v>999</v>
      </c>
      <c r="D35" s="1588" t="s">
        <v>989</v>
      </c>
      <c r="E35" s="1706"/>
      <c r="F35" s="1706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06">
        <f>(SUMIFS(Financeiros[Valor],Financeiros[iddet1],19,Financeiros[iddet2],60,Financeiros[id_Detalhe_Grupo_TARIFA],C35))</f>
        <v>0</v>
      </c>
    </row>
    <row r="36" spans="1:7">
      <c r="A36" s="1874"/>
      <c r="B36" s="1873"/>
      <c r="C36" s="1588"/>
      <c r="D36" s="1689" t="s">
        <v>2206</v>
      </c>
      <c r="E36" s="1706">
        <f ca="1">SUM(E32:E35)</f>
        <v>207792.76525235781</v>
      </c>
      <c r="F36" s="1706">
        <f t="shared" ref="F36:G36" ca="1" si="4">SUM(F32:F35)</f>
        <v>9571.6434216766938</v>
      </c>
      <c r="G36" s="1706">
        <f t="shared" si="4"/>
        <v>0</v>
      </c>
    </row>
    <row r="37" spans="1:7">
      <c r="A37" s="1874"/>
      <c r="B37" s="1875" t="s">
        <v>2206</v>
      </c>
      <c r="C37" s="1875"/>
      <c r="D37" s="1875"/>
      <c r="E37" s="1706">
        <f ca="1">SUM(E18,E26,E28,E36,E31)</f>
        <v>4258616.651107912</v>
      </c>
      <c r="F37" s="1706">
        <f ca="1">SUM(F18,F26,F28,F36,F31)</f>
        <v>-1483763.3076089737</v>
      </c>
      <c r="G37" s="1706">
        <f>SUM(G18,G26,G28,G36,G31)</f>
        <v>0</v>
      </c>
    </row>
    <row r="38" spans="1:7">
      <c r="A38" s="1873" t="s">
        <v>971</v>
      </c>
      <c r="B38" s="1873" t="s">
        <v>2077</v>
      </c>
      <c r="C38" s="1588">
        <v>19</v>
      </c>
      <c r="D38" s="1588" t="s">
        <v>48</v>
      </c>
      <c r="E38" s="1706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06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06">
        <f>(SUMIFS(Financeiros[Valor],Financeiros[iddet1],19,Financeiros[iddet2],60,Financeiros[id_Detalhe_Grupo_TARIFA],C38))</f>
        <v>0</v>
      </c>
    </row>
    <row r="39" spans="1:7">
      <c r="A39" s="1874"/>
      <c r="B39" s="1873"/>
      <c r="C39" s="1588">
        <v>17</v>
      </c>
      <c r="D39" s="1588" t="s">
        <v>46</v>
      </c>
      <c r="E39" s="1706">
        <f>Encargos!C9</f>
        <v>257354.31</v>
      </c>
      <c r="F39" s="1706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16713.160854146878</v>
      </c>
      <c r="G39" s="1706">
        <f>(SUMIFS(Financeiros[Valor],Financeiros[iddet1],19,Financeiros[iddet2],60,Financeiros[id_Detalhe_Grupo_TARIFA],C39))</f>
        <v>0</v>
      </c>
    </row>
    <row r="40" spans="1:7">
      <c r="A40" s="1874"/>
      <c r="B40" s="1873"/>
      <c r="C40" s="1588">
        <v>16</v>
      </c>
      <c r="D40" s="1588" t="s">
        <v>112</v>
      </c>
      <c r="E40" s="1706">
        <f>Encargos!C8</f>
        <v>0</v>
      </c>
      <c r="F40" s="1706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06">
        <f>(SUMIFS(Financeiros[Valor],Financeiros[iddet1],19,Financeiros[iddet2],60,Financeiros[id_Detalhe_Grupo_TARIFA],C40))</f>
        <v>0</v>
      </c>
    </row>
    <row r="41" spans="1:7">
      <c r="A41" s="1874"/>
      <c r="B41" s="1873"/>
      <c r="C41" s="1588">
        <v>25</v>
      </c>
      <c r="D41" s="1588" t="s">
        <v>2221</v>
      </c>
      <c r="E41" s="1706">
        <v>0</v>
      </c>
      <c r="F41" s="1706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06">
        <f>(SUMIFS(Financeiros[Valor],Financeiros[iddet1],19,Financeiros[iddet2],60,Financeiros[id_Detalhe_Grupo_TARIFA],C41))</f>
        <v>0</v>
      </c>
    </row>
    <row r="42" spans="1:7">
      <c r="A42" s="1874"/>
      <c r="B42" s="1873"/>
      <c r="C42" s="1588">
        <v>28</v>
      </c>
      <c r="D42" s="1588" t="s">
        <v>2056</v>
      </c>
      <c r="E42" s="1706">
        <f>Encargos!I21</f>
        <v>-142407.21</v>
      </c>
      <c r="F42" s="1706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06">
        <f>(SUMIFS(Financeiros[Valor],Financeiros[iddet1],19,Financeiros[iddet2],60,Financeiros[id_Detalhe_Grupo_TARIFA],C42))</f>
        <v>0</v>
      </c>
    </row>
    <row r="43" spans="1:7">
      <c r="A43" s="1874"/>
      <c r="B43" s="1873"/>
      <c r="C43" s="1588"/>
      <c r="D43" s="1689" t="s">
        <v>2206</v>
      </c>
      <c r="E43" s="1706">
        <f ca="1">SUM(E38:E42)</f>
        <v>114947.1</v>
      </c>
      <c r="F43" s="1706">
        <f ca="1">SUM(F38:F42)</f>
        <v>16713.160854146878</v>
      </c>
      <c r="G43" s="1706">
        <f>SUM(G38:G42)</f>
        <v>0</v>
      </c>
    </row>
    <row r="44" spans="1:7">
      <c r="A44" s="1874"/>
      <c r="B44" s="1873" t="s">
        <v>2078</v>
      </c>
      <c r="C44" s="1588">
        <v>11</v>
      </c>
      <c r="D44" s="1588" t="s">
        <v>2222</v>
      </c>
      <c r="E44" s="1706">
        <f ca="1">Energia!D6*Energia!D14</f>
        <v>1524849.7670267283</v>
      </c>
      <c r="F44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70239.780600065962</v>
      </c>
      <c r="G44" s="1706">
        <f>(SUMIFS(Financeiros[Valor],Financeiros[iddet1],19,Financeiros[iddet2],60,Financeiros[id_Detalhe_Grupo_TARIFA],C44))</f>
        <v>0</v>
      </c>
    </row>
    <row r="45" spans="1:7">
      <c r="A45" s="1874"/>
      <c r="B45" s="1873"/>
      <c r="C45" s="1588"/>
      <c r="D45" s="1689" t="s">
        <v>2206</v>
      </c>
      <c r="E45" s="1706">
        <f ca="1">SUM(E44)</f>
        <v>1524849.7670267283</v>
      </c>
      <c r="F45" s="1706">
        <f ca="1">SUM(F44)</f>
        <v>70239.780600065962</v>
      </c>
      <c r="G45" s="1706">
        <f>SUM(G44)</f>
        <v>0</v>
      </c>
    </row>
    <row r="46" spans="1:7">
      <c r="A46" s="1874"/>
      <c r="B46" s="1873" t="s">
        <v>2207</v>
      </c>
      <c r="C46" s="1588">
        <v>21</v>
      </c>
      <c r="D46" s="1588" t="s">
        <v>975</v>
      </c>
      <c r="E46" s="1706">
        <f>Resultado!D29</f>
        <v>0</v>
      </c>
      <c r="F46" s="1706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06">
        <f>(SUMIFS(Financeiros[Valor],Financeiros[iddet1],19,Financeiros[iddet2],60,Financeiros[id_Detalhe_Grupo_TARIFA],C46))</f>
        <v>0</v>
      </c>
    </row>
    <row r="47" spans="1:7">
      <c r="A47" s="1874"/>
      <c r="B47" s="1873"/>
      <c r="C47" s="1588">
        <v>23</v>
      </c>
      <c r="D47" s="1588" t="s">
        <v>2223</v>
      </c>
      <c r="E47" s="1706">
        <f>Resultado!D30</f>
        <v>0</v>
      </c>
      <c r="F47" s="1706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06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4"/>
      <c r="B48" s="1873"/>
      <c r="C48" s="1588">
        <v>22</v>
      </c>
      <c r="D48" s="1588" t="s">
        <v>2224</v>
      </c>
      <c r="E48" s="1706">
        <f>0</f>
        <v>0</v>
      </c>
      <c r="F48" s="1706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06">
        <f>(SUMIFS(Financeiros[Valor],Financeiros[iddet1],19,Financeiros[iddet2],60,Financeiros[id_Detalhe_Grupo_TARIFA],C48))</f>
        <v>0</v>
      </c>
    </row>
    <row r="49" spans="1:7">
      <c r="A49" s="1874"/>
      <c r="B49" s="1873"/>
      <c r="C49" s="1588"/>
      <c r="D49" s="1689" t="s">
        <v>2206</v>
      </c>
      <c r="E49" s="1706">
        <f>SUM(E46:E48)</f>
        <v>0</v>
      </c>
      <c r="F49" s="1706">
        <f>SUM(F46:F48)</f>
        <v>0</v>
      </c>
      <c r="G49" s="1706">
        <f>SUM(G46:G48)</f>
        <v>0</v>
      </c>
    </row>
    <row r="50" spans="1:7">
      <c r="A50" s="1874"/>
      <c r="B50" s="1873" t="s">
        <v>2215</v>
      </c>
      <c r="C50" s="1588">
        <v>179</v>
      </c>
      <c r="D50" s="1588" t="s">
        <v>2216</v>
      </c>
      <c r="E50" s="1706">
        <v>0</v>
      </c>
      <c r="F50" s="1706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06">
        <f>SUMIFS(Financeiros[Valor],Financeiros[iddet1],19,Financeiros[iddet2],60,Financeiros[id_Detalhe_Grupo_TARIFA],C50)</f>
        <v>0</v>
      </c>
    </row>
    <row r="51" spans="1:7">
      <c r="A51" s="1874"/>
      <c r="B51" s="1873"/>
      <c r="C51" s="1588"/>
      <c r="D51" s="1588" t="s">
        <v>2206</v>
      </c>
      <c r="E51" s="1706">
        <f>SUM(E50)</f>
        <v>0</v>
      </c>
      <c r="F51" s="1706">
        <f ca="1">SUM(F50)</f>
        <v>0</v>
      </c>
      <c r="G51" s="1706">
        <f>SUM(G50)</f>
        <v>0</v>
      </c>
    </row>
    <row r="52" spans="1:7">
      <c r="A52" s="1874"/>
      <c r="B52" s="1873" t="s">
        <v>2217</v>
      </c>
      <c r="C52" s="1588">
        <v>24</v>
      </c>
      <c r="D52" s="1588" t="s">
        <v>2225</v>
      </c>
      <c r="E52" s="1706">
        <f ca="1">Energia!D13*Energia!D14</f>
        <v>11882.43927622384</v>
      </c>
      <c r="F52" s="170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547.34567680262467</v>
      </c>
      <c r="G52" s="1706">
        <f>(SUMIFS(Financeiros[Valor],Financeiros[iddet1],19,Financeiros[iddet2],60,Financeiros[id_Detalhe_Grupo_TARIFA],C52))</f>
        <v>0</v>
      </c>
    </row>
    <row r="53" spans="1:7">
      <c r="A53" s="1874"/>
      <c r="B53" s="1873"/>
      <c r="C53" s="1588"/>
      <c r="D53" s="1689" t="s">
        <v>2206</v>
      </c>
      <c r="E53" s="1706">
        <f ca="1">SUM(E52)</f>
        <v>11882.43927622384</v>
      </c>
      <c r="F53" s="1706">
        <f t="shared" ref="F53:G53" ca="1" si="5">SUM(F52)</f>
        <v>547.34567680262467</v>
      </c>
      <c r="G53" s="1706">
        <f t="shared" si="5"/>
        <v>0</v>
      </c>
    </row>
    <row r="54" spans="1:7">
      <c r="A54" s="1874"/>
      <c r="B54" s="1875" t="s">
        <v>2206</v>
      </c>
      <c r="C54" s="1875"/>
      <c r="D54" s="1875"/>
      <c r="E54" s="1706">
        <f ca="1">SUM(E43,E45,E49,E53,E51)</f>
        <v>1651679.3063029521</v>
      </c>
      <c r="F54" s="1706">
        <f t="shared" ref="F54:G54" ca="1" si="6">SUM(F43,F45,F49,F53,F51)</f>
        <v>87500.287131015459</v>
      </c>
      <c r="G54" s="1706">
        <f t="shared" si="6"/>
        <v>0</v>
      </c>
    </row>
    <row r="55" spans="1:7">
      <c r="A55" s="1873" t="s">
        <v>760</v>
      </c>
      <c r="B55" s="1873"/>
      <c r="C55" s="1873"/>
      <c r="D55" s="1873"/>
      <c r="E55" s="1706">
        <f ca="1">E37+E54</f>
        <v>5910295.9574108645</v>
      </c>
      <c r="F55" s="1706">
        <f t="shared" ref="F55:G55" ca="1" si="7">F37+F54</f>
        <v>-1396263.0204779583</v>
      </c>
      <c r="G55" s="1706">
        <f t="shared" si="7"/>
        <v>0</v>
      </c>
    </row>
    <row r="56" spans="1:7">
      <c r="E56" s="1707"/>
      <c r="F56" s="1707"/>
      <c r="G56" s="1707"/>
    </row>
    <row r="57" spans="1:7">
      <c r="D57" s="1689" t="s">
        <v>2281</v>
      </c>
      <c r="E57" s="1706">
        <f ca="1">Resultado!C5</f>
        <v>5910295.9574108645</v>
      </c>
      <c r="F57" s="1706">
        <f ca="1">(SUMIFS(Financeiros[Valor],Financeiros[iddet1],20)+SUMIFS(Financeiros[Valor],Financeiros[iddet1],22)+SUMIFS(Financeiros[Valor],Financeiros[iddet1],19,Financeiros[iddet2],64))</f>
        <v>-1396263.0204779583</v>
      </c>
      <c r="G57" s="1706">
        <f>(SUMIFS(Financeiros[Valor],Financeiros[iddet1],19,Financeiros[iddet2],60))</f>
        <v>0</v>
      </c>
    </row>
    <row r="58" spans="1:7">
      <c r="D58" s="1689" t="s">
        <v>2226</v>
      </c>
      <c r="E58" s="1706" t="str">
        <f ca="1">IF(ABS(E55-E57)&gt;1,"verificar sparta","ok")</f>
        <v>ok</v>
      </c>
      <c r="F58" s="1706" t="str">
        <f t="shared" ref="F58" ca="1" si="8">IF(ABS(F55-F57)&gt;1,"verificar sparta","ok")</f>
        <v>ok</v>
      </c>
      <c r="G58" s="1706" t="str">
        <f>IF(ABS(G55-G57)&gt;1,"verificar sparta","ok")</f>
        <v>ok</v>
      </c>
    </row>
    <row r="59" spans="1:7">
      <c r="E59" s="1707"/>
      <c r="F59" s="1707"/>
      <c r="G59" s="1707"/>
    </row>
    <row r="60" spans="1:7">
      <c r="D60" s="1689" t="s">
        <v>2227</v>
      </c>
      <c r="E60" s="1706">
        <f ca="1">SUMIFS(TabelaBadNet[valor],TabelaBadNet[id_Natureza_dado],2,TabelaBadNet[id_Detalhe_Natureza],1,TabelaBadNet[id_Unidade],3,TabelaBadNet[idDet1],51)</f>
        <v>5910295.9574108636</v>
      </c>
      <c r="F60" s="1706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-1396263.0204779583</v>
      </c>
      <c r="G60" s="1706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9" t="s">
        <v>2226</v>
      </c>
      <c r="E61" s="1706" t="str">
        <f ca="1">IF(ABS(E60-E55)&gt;1,"verificar badnet","ok")</f>
        <v>ok</v>
      </c>
      <c r="F61" s="1706" t="str">
        <f t="shared" ref="F61:G61" ca="1" si="9">IF(ABS(F60-F55)&gt;1,"verificar badnet","ok")</f>
        <v>ok</v>
      </c>
      <c r="G61" s="1706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zoomScaleNormal="100" workbookViewId="0"/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696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1419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1419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0.1164</v>
      </c>
      <c r="Q6" s="232">
        <f ca="1">Resultado!C7</f>
        <v>0.1164</v>
      </c>
    </row>
    <row r="7" spans="1:17" s="13" customFormat="1" ht="15.75">
      <c r="A7" t="s">
        <v>696</v>
      </c>
      <c r="B7" t="s">
        <v>1419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-0.26369999999999999</v>
      </c>
      <c r="Q7" s="232">
        <f ca="1">Resultado!C8</f>
        <v>-0.26369999999999999</v>
      </c>
    </row>
    <row r="8" spans="1:17" s="13" customFormat="1" ht="15.75">
      <c r="A8" t="s">
        <v>696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-0.14729999999999999</v>
      </c>
      <c r="Q8" s="232">
        <f ca="1">Resultado!C9</f>
        <v>-0.14729999999999999</v>
      </c>
    </row>
    <row r="9" spans="1:17" s="13" customFormat="1" ht="15.75">
      <c r="A9" t="s">
        <v>696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0.24918808782576196</v>
      </c>
      <c r="Q9" s="232">
        <f ca="1">IF(ISERROR(LnkTXTICMS),0,LnkTXTICMS)</f>
        <v>0.24918808782576196</v>
      </c>
    </row>
    <row r="10" spans="1:17" s="13" customFormat="1" ht="15.75">
      <c r="A10" t="s">
        <v>696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2.1821254624505453E-2</v>
      </c>
      <c r="Q10" s="232">
        <f ca="1">IF(ISERROR(LNKTXTPercPISCOFINS),0,LNKTXTPercPISCOFINS)</f>
        <v>2.1821254624505453E-2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9837.212867354101</v>
      </c>
      <c r="Q13" s="232">
        <f ca="1">Resultado!D17</f>
        <v>9837.212867354101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774127.16399000003</v>
      </c>
      <c r="Q14" s="232">
        <f ca="1">Encargos!I19</f>
        <v>774127.16399000003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257354.31</v>
      </c>
      <c r="Q16" s="232">
        <f>Resultado!D20</f>
        <v>257354.31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133386.47937000002</v>
      </c>
      <c r="Q17" s="232">
        <f ca="1">Resultado!D21</f>
        <v>133386.47937000002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733473.02962819999</v>
      </c>
      <c r="Q21" s="232">
        <f>Q22/(1-Q20)</f>
        <v>733473.02962819999</v>
      </c>
    </row>
    <row r="22" spans="1:17" ht="15.75">
      <c r="A22" t="s">
        <v>696</v>
      </c>
      <c r="B22" t="s">
        <v>717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733473.02962819999</v>
      </c>
      <c r="Q22" s="232">
        <f>CUSD!C3</f>
        <v>733473.02962819999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10822.847637142859</v>
      </c>
      <c r="Q31" s="232">
        <f ca="1">Energia!D5</f>
        <v>10822.847637142859</v>
      </c>
    </row>
    <row r="32" spans="1:17" ht="15.75">
      <c r="A32" t="s">
        <v>696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1279.1563799999997</v>
      </c>
      <c r="Q32" s="232">
        <f ca="1">Energia!N17</f>
        <v>1279.1563799999997</v>
      </c>
    </row>
    <row r="33" spans="1:17" ht="15.75">
      <c r="A33" t="s">
        <v>696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9.9678659096898983</v>
      </c>
      <c r="Q34" s="232">
        <f ca="1">Energia!N18</f>
        <v>9.9678659096898983</v>
      </c>
    </row>
    <row r="35" spans="1:17" ht="15.75">
      <c r="A35" t="s">
        <v>696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73.71739123316722</v>
      </c>
      <c r="Q35" s="232">
        <f ca="1">Energia!N19</f>
        <v>73.71739123316722</v>
      </c>
    </row>
    <row r="36" spans="1:17" ht="15.75">
      <c r="A36" t="s">
        <v>696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0.11911137337696159</v>
      </c>
      <c r="Q36" s="232">
        <f ca="1">Energia!N14</f>
        <v>0.11911137337696159</v>
      </c>
    </row>
    <row r="37" spans="1:17" s="12" customFormat="1" ht="15.75">
      <c r="A37" t="s">
        <v>696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7.7925311287505754E-3</v>
      </c>
      <c r="Q38" s="232">
        <f ca="1">Energia!N15</f>
        <v>7.7925311287505754E-3</v>
      </c>
    </row>
    <row r="39" spans="1:17" s="15" customFormat="1" ht="15.75">
      <c r="A39" t="s">
        <v>696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1744524.9715553098</v>
      </c>
      <c r="Q39" s="232">
        <f ca="1">Energia!D15</f>
        <v>1744524.9715553098</v>
      </c>
    </row>
    <row r="40" spans="1:17" ht="15.75">
      <c r="A40" t="s">
        <v>695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161.18909089769372</v>
      </c>
      <c r="Q40" s="232">
        <f ca="1">Energia!D14</f>
        <v>161.18909089769372</v>
      </c>
    </row>
    <row r="41" spans="1:17" ht="15.75">
      <c r="A41" t="s">
        <v>695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170.85448258501719</v>
      </c>
      <c r="Q41" s="232">
        <f>Energia!C20</f>
        <v>170.85448258501719</v>
      </c>
    </row>
    <row r="42" spans="1:17" ht="15.75">
      <c r="A42" t="s">
        <v>696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7816.0634897141381</v>
      </c>
      <c r="Q42" s="232">
        <f ca="1">Energia!C23</f>
        <v>7816.0634897141381</v>
      </c>
    </row>
    <row r="43" spans="1:17" ht="15.75">
      <c r="A43" t="s">
        <v>696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1236193.3975674384</v>
      </c>
      <c r="Q43" s="232">
        <f ca="1">Energia!F23</f>
        <v>1236193.3975674384</v>
      </c>
    </row>
    <row r="44" spans="1:17" s="12" customFormat="1" ht="15.75">
      <c r="A44" t="s">
        <v>696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</v>
      </c>
      <c r="Q47" s="232">
        <f>Energia!F28</f>
        <v>0</v>
      </c>
    </row>
    <row r="48" spans="1:17" s="12" customFormat="1" ht="15.75">
      <c r="A48" t="s">
        <v>696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9460.0060000000012</v>
      </c>
      <c r="Q52" s="232">
        <f ca="1">FornecimentoE</f>
        <v>9460.0060000000012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4851.8040000000001</v>
      </c>
      <c r="Q62" s="232">
        <f ca="1">Calc_Mercado!C13</f>
        <v>4851.8040000000001</v>
      </c>
    </row>
    <row r="63" spans="1:17" s="12" customFormat="1" ht="15.75">
      <c r="A63" t="s">
        <v>696</v>
      </c>
      <c r="B63" t="s">
        <v>895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4608.2020000000011</v>
      </c>
      <c r="Q64" s="232">
        <f ca="1">FornecimentoE_BT</f>
        <v>4608.2020000000011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5293897.0709500015</v>
      </c>
      <c r="Q65" s="232">
        <f ca="1">Calc_Mercado!D8</f>
        <v>5293897.0709500015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2452683.6531299995</v>
      </c>
      <c r="Q75" s="232">
        <f ca="1">Calc_Mercado!D13</f>
        <v>2452683.6531299995</v>
      </c>
    </row>
    <row r="76" spans="1:17" ht="15.75">
      <c r="A76" t="s">
        <v>696</v>
      </c>
      <c r="B76" t="s">
        <v>895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2841213.4178200024</v>
      </c>
      <c r="Q77" s="232">
        <f ca="1">Calc_Mercado!D15</f>
        <v>2841213.4178200024</v>
      </c>
    </row>
    <row r="78" spans="1:17" ht="15.75">
      <c r="A78" t="s">
        <v>696</v>
      </c>
      <c r="B78" t="s">
        <v>895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9460.0060000000012</v>
      </c>
      <c r="Q80" s="232">
        <f ca="1">LnkTXTEV</f>
        <v>9460.0060000000012</v>
      </c>
    </row>
    <row r="81" spans="1:17" ht="15.75">
      <c r="A81" t="s">
        <v>696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2400000</v>
      </c>
      <c r="Q81" s="232">
        <f>Resultado!D39</f>
        <v>2400000</v>
      </c>
    </row>
    <row r="82" spans="1:17" ht="15.75">
      <c r="A82" t="s">
        <v>696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1</v>
      </c>
      <c r="Q84" s="232">
        <f ca="1">IF(CAPA!C110="Revisão",1,0)</f>
        <v>1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10822.847637142859</v>
      </c>
      <c r="Q87" s="232">
        <f ca="1">Energia!D5</f>
        <v>10822.847637142859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1744524.9715553098</v>
      </c>
      <c r="Q88" s="232">
        <f ca="1">Energia!D15</f>
        <v>1744524.9715553098</v>
      </c>
    </row>
    <row r="89" spans="1:17" ht="15.75">
      <c r="A89" s="16" t="s">
        <v>696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3510295.9574108641</v>
      </c>
      <c r="Q89" s="232">
        <f ca="1">Resultado!D34</f>
        <v>3510295.9574108641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2400000</v>
      </c>
      <c r="Q90" s="232">
        <f>Resultado!D39</f>
        <v>2400000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1032297.9562273542</v>
      </c>
      <c r="Q91" s="232">
        <f ca="1">Resultado!D14</f>
        <v>1032297.9562273542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733473.02962819999</v>
      </c>
      <c r="Q92" s="232">
        <f>Resultado!D24</f>
        <v>733473.02962819999</v>
      </c>
    </row>
    <row r="93" spans="1:17" ht="15.75">
      <c r="A93" s="16" t="s">
        <v>696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5910295.9574108645</v>
      </c>
      <c r="Q93" s="232">
        <f ca="1">Resultado!C5</f>
        <v>5910295.9574108645</v>
      </c>
    </row>
    <row r="94" spans="1:17" ht="15.75">
      <c r="A94" s="16" t="s">
        <v>696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7.7925311287505754E-3</v>
      </c>
      <c r="Q94" s="232">
        <f ca="1">Energia!N15</f>
        <v>7.7925311287505754E-3</v>
      </c>
    </row>
    <row r="95" spans="1:17" ht="15.75">
      <c r="A95" s="16" t="s">
        <v>696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83.685257142857125</v>
      </c>
      <c r="Q95" s="232">
        <f ca="1">Energia!N18+Energia!N19</f>
        <v>83.685257142857125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2031904.167979738</v>
      </c>
      <c r="Q96" s="232">
        <f ca="1">Resultado!C33</f>
        <v>2031904.167979738</v>
      </c>
    </row>
    <row r="97" spans="1:17" ht="15.75">
      <c r="A97" s="16" t="s">
        <v>695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5293897.0709500015</v>
      </c>
      <c r="Q97" s="232">
        <f ca="1">Mercado_RA0_Reais</f>
        <v>5293897.0709500015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-1396263.0204779583</v>
      </c>
      <c r="Q98" s="232">
        <f ca="1">Financeiros!D7</f>
        <v>-1396263.0204779583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-0.26374955949557127</v>
      </c>
      <c r="Q99" s="232">
        <f ca="1">Financeiros!E7</f>
        <v>-0.26374955949557127</v>
      </c>
    </row>
    <row r="100" spans="1:17" ht="15.75">
      <c r="A100" s="16" t="s">
        <v>696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4514032.9369329065</v>
      </c>
      <c r="Q100" s="232">
        <f ca="1">Resultado!C5+Financeiros!D7/(1+IF(Q86&gt;0,Q86,0))</f>
        <v>4514032.9369329065</v>
      </c>
    </row>
    <row r="101" spans="1:17" ht="15.75">
      <c r="A101" t="s">
        <v>696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10822.847637142859</v>
      </c>
      <c r="Q102" s="232">
        <f ca="1">Energia!D5</f>
        <v>10822.847637142859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1744524.9715553098</v>
      </c>
      <c r="Q103" s="232">
        <f ca="1">Energia!D15</f>
        <v>1744524.9715553098</v>
      </c>
    </row>
    <row r="104" spans="1:17" ht="15.75">
      <c r="A104" t="s">
        <v>696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1362.8416371428568</v>
      </c>
      <c r="Q104" s="232">
        <f ca="1">SUM(LnkTXTPerdas)</f>
        <v>1362.8416371428568</v>
      </c>
    </row>
    <row r="105" spans="1:17" ht="15.75">
      <c r="A105" s="16" t="s">
        <v>696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27818</v>
      </c>
      <c r="Q105" s="232">
        <f ca="1">SUM(INDIRECT("dados_MercadoBase[D]"))</f>
        <v>27818</v>
      </c>
    </row>
    <row r="106" spans="1:17" ht="15.75">
      <c r="A106" t="s">
        <v>696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9460.0059999999958</v>
      </c>
      <c r="Q106" s="232">
        <f ca="1">SUM(INDIRECT("dados_MercadoBase[TUSD_E]"))</f>
        <v>9460.0059999999958</v>
      </c>
    </row>
    <row r="107" spans="1:17" ht="15.75">
      <c r="A107" s="16" t="s">
        <v>695</v>
      </c>
      <c r="B107" s="16" t="s">
        <v>717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9460.0059999999958</v>
      </c>
      <c r="Q113" s="232">
        <f ca="1">SUM(INDIRECT("dados_MercadoBase[TE_E]"))</f>
        <v>9460.0059999999958</v>
      </c>
    </row>
    <row r="114" spans="1:19" ht="15.75">
      <c r="A114" t="s">
        <v>696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1980000</v>
      </c>
      <c r="Q116" s="232">
        <f>CAPA!D32</f>
        <v>1980000</v>
      </c>
      <c r="S116" s="9"/>
    </row>
    <row r="117" spans="1:19" ht="15.75">
      <c r="A117" s="16" t="s">
        <v>696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420000</v>
      </c>
      <c r="Q118" s="232">
        <f>CAPA!D33</f>
        <v>420000</v>
      </c>
    </row>
    <row r="119" spans="1:19" ht="15.75">
      <c r="A119" s="16" t="s">
        <v>696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2400000</v>
      </c>
      <c r="Q119" s="232">
        <f>Resultado!D39</f>
        <v>2400000</v>
      </c>
    </row>
    <row r="120" spans="1:19" ht="15.75">
      <c r="A120" t="s">
        <v>696</v>
      </c>
      <c r="B120" t="s">
        <v>1482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 t="str">
        <f>VLOOKUP(LnkTXTSigla,Informacoes[],16,FALSE)</f>
        <v>-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0</v>
      </c>
      <c r="Q124" s="232">
        <f>'Tabelas e Gráficos'!BP314</f>
        <v>0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-238.08172542812949</v>
      </c>
      <c r="Q125" s="232">
        <f>'Tabelas e Gráficos'!BP315</f>
        <v>-238.08172542812949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-53.131928328273524</v>
      </c>
      <c r="Q126" s="232">
        <f>'Tabelas e Gráficos'!BP316</f>
        <v>-53.131928328273524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0</v>
      </c>
      <c r="Q130" s="232">
        <f>'Tabelas e Gráficos'!BQ314</f>
        <v>0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2224.4260743059453</v>
      </c>
      <c r="Q131" s="232">
        <f>'Tabelas e Gráficos'!BQ315</f>
        <v>2224.4260743059453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77.893585521929495</v>
      </c>
      <c r="Q132" s="232">
        <f>'Tabelas e Gráficos'!BQ316</f>
        <v>77.893585521929495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0</v>
      </c>
      <c r="Q136" s="232">
        <f>'Tabelas e Gráficos'!BR314</f>
        <v>0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1986.3443488778159</v>
      </c>
      <c r="Q137" s="232">
        <f>'Tabelas e Gráficos'!BR315</f>
        <v>1986.3443488778159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24.761657193655971</v>
      </c>
      <c r="Q138" s="232">
        <f>'Tabelas e Gráficos'!BR316</f>
        <v>24.761657193655971</v>
      </c>
    </row>
    <row r="139" spans="1:17" ht="15.75">
      <c r="A139" s="846" t="s">
        <v>696</v>
      </c>
      <c r="B139" s="846" t="s">
        <v>72</v>
      </c>
      <c r="C139" s="846" t="s">
        <v>1508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6" t="s">
        <v>696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427.52967849015766</v>
      </c>
      <c r="Q140" s="232">
        <f ca="1">Energia!$C$21</f>
        <v>427.52967849015766</v>
      </c>
    </row>
    <row r="141" spans="1:17" ht="15.75">
      <c r="A141" s="846" t="s">
        <v>696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149271.98724483853</v>
      </c>
      <c r="Q141" s="232">
        <f ca="1">Energia!$F$21</f>
        <v>149271.98724483853</v>
      </c>
    </row>
    <row r="142" spans="1:17" ht="15.75">
      <c r="A142" s="846" t="s">
        <v>696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2408.3999863535455</v>
      </c>
      <c r="Q142" s="232">
        <f ca="1">Energia!$C$22</f>
        <v>2408.3999863535455</v>
      </c>
    </row>
    <row r="143" spans="1:17" ht="15.75">
      <c r="A143" s="846" t="s">
        <v>696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359059.58674303279</v>
      </c>
      <c r="Q143" s="232">
        <f ca="1">Energia!$F$22</f>
        <v>359059.58674303279</v>
      </c>
    </row>
    <row r="144" spans="1:17" ht="15.75">
      <c r="A144" s="846" t="s">
        <v>696</v>
      </c>
      <c r="B144" s="846" t="s">
        <v>72</v>
      </c>
      <c r="C144" s="846" t="s">
        <v>2054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253432.77</v>
      </c>
      <c r="Q144" s="232">
        <f>Encargos!L17</f>
        <v>253432.77</v>
      </c>
    </row>
    <row r="145" spans="1:17" ht="15.75">
      <c r="A145" s="846" t="s">
        <v>696</v>
      </c>
      <c r="B145" s="846" t="s">
        <v>72</v>
      </c>
      <c r="C145" s="846" t="s">
        <v>2056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-142407.21</v>
      </c>
      <c r="Q145" s="232">
        <f>Encargos!I21</f>
        <v>-142407.21</v>
      </c>
    </row>
    <row r="146" spans="1:17" ht="15.75">
      <c r="A146" s="846" t="s">
        <v>1461</v>
      </c>
      <c r="B146" s="846" t="s">
        <v>108</v>
      </c>
      <c r="C146" s="846" t="s">
        <v>2162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8.8212468882652231E-2</v>
      </c>
      <c r="Q146" s="232">
        <f ca="1">Energia!L35</f>
        <v>8.8212468882652231E-2</v>
      </c>
    </row>
    <row r="147" spans="1:17" ht="15.75">
      <c r="A147" s="846" t="s">
        <v>696</v>
      </c>
      <c r="B147" s="846" t="s">
        <v>1290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21613.100516236267</v>
      </c>
      <c r="Q147" s="232">
        <f>Financeiros!D9</f>
        <v>21613.100516236267</v>
      </c>
    </row>
    <row r="148" spans="1:17" ht="15.75">
      <c r="A148" s="846" t="s">
        <v>696</v>
      </c>
      <c r="B148" s="846" t="s">
        <v>1290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34810.583035266187</v>
      </c>
      <c r="Q148" s="232">
        <f ca="1">Financeiros!D10</f>
        <v>34810.583035266187</v>
      </c>
    </row>
    <row r="149" spans="1:17" ht="15.75">
      <c r="A149" s="846" t="s">
        <v>696</v>
      </c>
      <c r="B149" s="846" t="s">
        <v>1290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696</v>
      </c>
      <c r="B150" s="846" t="s">
        <v>1290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4706.9927208376503</v>
      </c>
      <c r="Q150" s="232">
        <f ca="1">Financeiros!D12</f>
        <v>4706.9927208376503</v>
      </c>
    </row>
    <row r="151" spans="1:17" ht="15.75">
      <c r="A151" s="846" t="s">
        <v>696</v>
      </c>
      <c r="B151" s="846" t="s">
        <v>1290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36.679387299929758</v>
      </c>
      <c r="Q151" s="232">
        <f ca="1">Financeiros!D13</f>
        <v>36.679387299929758</v>
      </c>
    </row>
    <row r="152" spans="1:17" ht="15.75">
      <c r="A152" s="846" t="s">
        <v>696</v>
      </c>
      <c r="B152" s="846" t="s">
        <v>1290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271.26255191226846</v>
      </c>
      <c r="Q152" s="232">
        <f ca="1">Financeiros!D14</f>
        <v>271.26255191226846</v>
      </c>
    </row>
    <row r="153" spans="1:17" ht="15.75">
      <c r="A153" s="846" t="s">
        <v>696</v>
      </c>
      <c r="B153" s="846" t="s">
        <v>1290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173.53224665300522</v>
      </c>
      <c r="Q153" s="232">
        <f ca="1">Financeiros!D15</f>
        <v>173.53224665300522</v>
      </c>
    </row>
    <row r="154" spans="1:17" ht="15.75">
      <c r="A154" s="846" t="s">
        <v>696</v>
      </c>
      <c r="B154" s="846" t="s">
        <v>1290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18158.155841082949</v>
      </c>
      <c r="Q154" s="232">
        <f ca="1">Financeiros!D16</f>
        <v>18158.155841082949</v>
      </c>
    </row>
    <row r="155" spans="1:17" ht="15.75">
      <c r="A155" s="846" t="s">
        <v>696</v>
      </c>
      <c r="B155" s="846" t="s">
        <v>1290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696</v>
      </c>
      <c r="B156" s="846" t="s">
        <v>1290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1698.6354115497932</v>
      </c>
      <c r="Q156" s="232">
        <f ca="1">Financeiros!D18</f>
        <v>1698.6354115497932</v>
      </c>
    </row>
    <row r="157" spans="1:17" ht="15.75">
      <c r="A157" s="846" t="s">
        <v>696</v>
      </c>
      <c r="B157" s="846" t="s">
        <v>1290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3312.513298166989</v>
      </c>
      <c r="Q157" s="232">
        <f ca="1">Financeiros!D19</f>
        <v>3312.513298166989</v>
      </c>
    </row>
    <row r="158" spans="1:17" ht="15.75">
      <c r="A158" s="846" t="s">
        <v>696</v>
      </c>
      <c r="B158" s="846" t="s">
        <v>1290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>
      <c r="A159" s="846" t="s">
        <v>696</v>
      </c>
      <c r="B159" s="846" t="s">
        <v>1290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696</v>
      </c>
      <c r="B160" s="846" t="s">
        <v>1290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>
      <c r="A161" s="846" t="s">
        <v>696</v>
      </c>
      <c r="B161" s="846" t="s">
        <v>1290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696</v>
      </c>
      <c r="B162" s="846" t="s">
        <v>1290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>
      <c r="A163" s="846" t="s">
        <v>696</v>
      </c>
      <c r="B163" s="846" t="s">
        <v>1290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>
      <c r="A164" s="846" t="s">
        <v>696</v>
      </c>
      <c r="B164" s="846" t="s">
        <v>1290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696</v>
      </c>
      <c r="B165" s="846" t="s">
        <v>1290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696</v>
      </c>
      <c r="B166" s="846" t="s">
        <v>1290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696</v>
      </c>
      <c r="B167" s="846" t="s">
        <v>1290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-19756.596540923529</v>
      </c>
      <c r="Q167" s="232">
        <f>Financeiros!D29</f>
        <v>-19756.596540923529</v>
      </c>
    </row>
    <row r="168" spans="1:17" ht="15.75">
      <c r="A168" s="846" t="s">
        <v>696</v>
      </c>
      <c r="B168" s="846" t="s">
        <v>1290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-1242268.5927623026</v>
      </c>
      <c r="Q168" s="232">
        <f ca="1">Financeiros!D30</f>
        <v>-1242268.5927623026</v>
      </c>
    </row>
    <row r="169" spans="1:17" ht="15.75">
      <c r="A169" s="846" t="s">
        <v>696</v>
      </c>
      <c r="B169" s="846" t="s">
        <v>1290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0</v>
      </c>
      <c r="Q169" s="232">
        <f>Financeiros!D31</f>
        <v>0</v>
      </c>
    </row>
    <row r="170" spans="1:17" ht="15.75">
      <c r="A170" s="846" t="s">
        <v>696</v>
      </c>
      <c r="B170" s="846" t="s">
        <v>1290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696</v>
      </c>
      <c r="B171" s="846" t="s">
        <v>1290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696</v>
      </c>
      <c r="B172" s="846" t="s">
        <v>1290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696</v>
      </c>
      <c r="B173" s="846" t="s">
        <v>1290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696</v>
      </c>
      <c r="B174" s="846" t="s">
        <v>1290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696</v>
      </c>
      <c r="B175" s="846" t="s">
        <v>1290</v>
      </c>
      <c r="C175" s="846" t="str">
        <f>Financeiros!C37</f>
        <v>Diferimento de Parcela B</v>
      </c>
      <c r="D175" s="846">
        <v>2</v>
      </c>
      <c r="E175" s="846">
        <v>2</v>
      </c>
      <c r="F175" s="846">
        <f>Financeiros!H37</f>
        <v>22</v>
      </c>
      <c r="G175" s="846">
        <f>Financeiros!I37</f>
        <v>60</v>
      </c>
      <c r="H175" s="846">
        <f>Financeiros!J37</f>
        <v>999</v>
      </c>
      <c r="I175" s="846">
        <f>Financeiros!K37</f>
        <v>4</v>
      </c>
      <c r="J175" s="846">
        <f>Financeiros!L37</f>
        <v>999</v>
      </c>
      <c r="K175" s="846">
        <f>Financeiros!M37</f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0</v>
      </c>
      <c r="Q175" s="232">
        <f>Financeiros!D37</f>
        <v>0</v>
      </c>
    </row>
    <row r="176" spans="1:17" ht="15.75">
      <c r="A176" s="846" t="s">
        <v>696</v>
      </c>
      <c r="B176" s="846" t="s">
        <v>1290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696</v>
      </c>
      <c r="B177" s="846" t="s">
        <v>1290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>
      <c r="A178" s="846" t="s">
        <v>696</v>
      </c>
      <c r="B178" s="846" t="s">
        <v>1290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-21613.100516236267</v>
      </c>
      <c r="Q178" s="232">
        <f>Financeiros!D40</f>
        <v>-21613.100516236267</v>
      </c>
    </row>
    <row r="179" spans="1:17" ht="15.75">
      <c r="A179" s="846" t="s">
        <v>696</v>
      </c>
      <c r="B179" s="846" t="s">
        <v>1290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ca="1" si="6"/>
        <v>-39825.517695316033</v>
      </c>
      <c r="Q179" s="232">
        <f ca="1">Financeiros!D41</f>
        <v>-39825.517695316033</v>
      </c>
    </row>
    <row r="180" spans="1:17" ht="15.75">
      <c r="A180" s="846" t="s">
        <v>696</v>
      </c>
      <c r="B180" s="846" t="s">
        <v>1290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0</v>
      </c>
      <c r="Q180" s="232">
        <f>Financeiros!D42</f>
        <v>0</v>
      </c>
    </row>
    <row r="181" spans="1:17" ht="15.75">
      <c r="A181" s="846" t="s">
        <v>696</v>
      </c>
      <c r="B181" s="846" t="s">
        <v>1290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>
      <c r="A182" s="846" t="s">
        <v>696</v>
      </c>
      <c r="B182" s="846" t="s">
        <v>1290</v>
      </c>
      <c r="C182" s="846" t="str">
        <f>Financeiros!C44</f>
        <v>Diferimento de Energia</v>
      </c>
      <c r="D182" s="846">
        <v>2</v>
      </c>
      <c r="E182" s="846">
        <v>2</v>
      </c>
      <c r="F182" s="846">
        <v>999</v>
      </c>
      <c r="G182" s="846">
        <v>999999</v>
      </c>
      <c r="H182" s="846">
        <v>999</v>
      </c>
      <c r="I182" s="846">
        <v>99</v>
      </c>
      <c r="J182" s="846">
        <v>999</v>
      </c>
      <c r="K182" s="846"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>
      <c r="A183" s="846" t="s">
        <v>696</v>
      </c>
      <c r="B183" s="846" t="s">
        <v>1290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v>999</v>
      </c>
      <c r="G183" s="846">
        <v>999999</v>
      </c>
      <c r="H183" s="846">
        <v>999</v>
      </c>
      <c r="I183" s="846">
        <v>99</v>
      </c>
      <c r="J183" s="846">
        <v>999</v>
      </c>
      <c r="K183" s="846"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696</v>
      </c>
      <c r="B184" s="846" t="s">
        <v>1290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f>Financeiros!H46</f>
        <v>22</v>
      </c>
      <c r="G184" s="846">
        <f>Financeiros!I46</f>
        <v>60</v>
      </c>
      <c r="H184" s="846">
        <f>Financeiros!J46</f>
        <v>999</v>
      </c>
      <c r="I184" s="846">
        <f>Financeiros!K46</f>
        <v>4</v>
      </c>
      <c r="J184" s="846">
        <f>Financeiros!L46</f>
        <v>999</v>
      </c>
      <c r="K184" s="846">
        <f>Financeiros!M46</f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>
      <c r="A185" s="846" t="s">
        <v>696</v>
      </c>
      <c r="B185" s="846" t="s">
        <v>1290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f>Financeiros!H47</f>
        <v>22</v>
      </c>
      <c r="G185" s="846">
        <f>Financeiros!I47</f>
        <v>60</v>
      </c>
      <c r="H185" s="846">
        <f>Financeiros!J47</f>
        <v>999</v>
      </c>
      <c r="I185" s="846">
        <f>Financeiros!K47</f>
        <v>1</v>
      </c>
      <c r="J185" s="846">
        <f>Financeiros!L47</f>
        <v>7</v>
      </c>
      <c r="K185" s="846">
        <f>Financeiros!M47</f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47046.036886672802</v>
      </c>
      <c r="Q185" s="232">
        <f>Financeiros!D47</f>
        <v>47046.036886672802</v>
      </c>
    </row>
    <row r="186" spans="1:17" ht="15.75">
      <c r="A186" s="846" t="s">
        <v>696</v>
      </c>
      <c r="B186" s="846" t="s">
        <v>1290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f>Financeiros!H48</f>
        <v>22</v>
      </c>
      <c r="G186" s="846">
        <f>Financeiros!I48</f>
        <v>60</v>
      </c>
      <c r="H186" s="846">
        <f>Financeiros!J48</f>
        <v>999</v>
      </c>
      <c r="I186" s="846">
        <f>Financeiros!K48</f>
        <v>2</v>
      </c>
      <c r="J186" s="846">
        <f>Financeiros!L48</f>
        <v>30</v>
      </c>
      <c r="K186" s="846">
        <f>Financeiros!M48</f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114772.48290092012</v>
      </c>
      <c r="Q186" s="232">
        <f>Financeiros!D48</f>
        <v>114772.48290092012</v>
      </c>
    </row>
    <row r="187" spans="1:17" ht="15.75">
      <c r="A187" s="846" t="s">
        <v>696</v>
      </c>
      <c r="B187" s="846" t="s">
        <v>1290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696</v>
      </c>
      <c r="B188" s="846" t="s">
        <v>1290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696</v>
      </c>
      <c r="B189" s="846" t="s">
        <v>1290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696</v>
      </c>
      <c r="B190" s="846" t="s">
        <v>1290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696</v>
      </c>
      <c r="B191" s="846" t="s">
        <v>1290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696</v>
      </c>
      <c r="B192" s="846" t="s">
        <v>1290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696</v>
      </c>
      <c r="B193" s="846" t="s">
        <v>1290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696</v>
      </c>
      <c r="B194" s="846" t="s">
        <v>1290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696</v>
      </c>
      <c r="B195" s="846" t="s">
        <v>1290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696</v>
      </c>
      <c r="B196" s="846" t="s">
        <v>1290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-51311.773742956604</v>
      </c>
      <c r="Q196" s="232">
        <f ca="1">Financeiros!D58</f>
        <v>-51311.773742956604</v>
      </c>
    </row>
    <row r="197" spans="1:17" ht="15.75">
      <c r="A197" s="846" t="s">
        <v>696</v>
      </c>
      <c r="B197" s="846" t="s">
        <v>1290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696</v>
      </c>
      <c r="B198" s="846" t="s">
        <v>1290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-6938.239019343052</v>
      </c>
      <c r="Q198" s="232">
        <f ca="1">Financeiros!D60</f>
        <v>-6938.239019343052</v>
      </c>
    </row>
    <row r="199" spans="1:17" ht="15.75">
      <c r="A199" s="846" t="s">
        <v>696</v>
      </c>
      <c r="B199" s="846" t="s">
        <v>1290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-54.066443536942607</v>
      </c>
      <c r="Q199" s="232">
        <f ca="1">Financeiros!D61</f>
        <v>-54.066443536942607</v>
      </c>
    </row>
    <row r="200" spans="1:17" ht="15.75">
      <c r="A200" s="846" t="s">
        <v>696</v>
      </c>
      <c r="B200" s="846" t="s">
        <v>1290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-399.84859416339572</v>
      </c>
      <c r="Q200" s="232">
        <f ca="1">Financeiros!D62</f>
        <v>-399.84859416339572</v>
      </c>
    </row>
    <row r="201" spans="1:17" ht="15.75">
      <c r="A201" s="846" t="s">
        <v>696</v>
      </c>
      <c r="B201" s="846" t="s">
        <v>1290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696</v>
      </c>
      <c r="B202" s="846" t="s">
        <v>1290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696</v>
      </c>
      <c r="B203" s="846" t="s">
        <v>1290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60497.069499999998</v>
      </c>
      <c r="Q203" s="232">
        <f>Financeiros!D65</f>
        <v>60497.069499999998</v>
      </c>
    </row>
    <row r="204" spans="1:17" ht="15.75">
      <c r="A204" s="846" t="s">
        <v>696</v>
      </c>
      <c r="B204" s="846" t="s">
        <v>1290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696</v>
      </c>
      <c r="B205" s="846" t="s">
        <v>1290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696</v>
      </c>
      <c r="B206" s="846" t="s">
        <v>1290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696</v>
      </c>
      <c r="B207" s="846" t="s">
        <v>1290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696</v>
      </c>
      <c r="B208" s="846" t="s">
        <v>1290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696</v>
      </c>
      <c r="B209" s="846" t="s">
        <v>1290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-45482.544057402913</v>
      </c>
      <c r="Q209" s="232">
        <f>Financeiros!D71</f>
        <v>-45482.544057402913</v>
      </c>
    </row>
    <row r="210" spans="1:17" ht="15.75">
      <c r="A210" s="846" t="s">
        <v>696</v>
      </c>
      <c r="B210" s="846" t="s">
        <v>1290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0</v>
      </c>
      <c r="Q210" s="232">
        <f ca="1">Financeiros!D72</f>
        <v>0</v>
      </c>
    </row>
    <row r="211" spans="1:17" ht="15.75">
      <c r="A211" s="846" t="s">
        <v>696</v>
      </c>
      <c r="B211" s="846" t="s">
        <v>1290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>
      <c r="A212" s="846" t="s">
        <v>696</v>
      </c>
      <c r="B212" s="846" t="s">
        <v>1290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6" t="s">
        <v>696</v>
      </c>
      <c r="B213" s="846" t="s">
        <v>1290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696</v>
      </c>
      <c r="B214" s="846" t="s">
        <v>1290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696</v>
      </c>
      <c r="B215" s="846" t="s">
        <v>1290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-644.87285515325732</v>
      </c>
      <c r="Q215" s="232">
        <f ca="1">Financeiros!D77</f>
        <v>-644.87285515325732</v>
      </c>
    </row>
    <row r="216" spans="1:17" ht="15.75">
      <c r="A216" s="846" t="s">
        <v>696</v>
      </c>
      <c r="B216" s="846" t="s">
        <v>1290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696</v>
      </c>
      <c r="B217" s="846" t="s">
        <v>1290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-87.197960229423188</v>
      </c>
      <c r="Q217" s="232">
        <f ca="1">Financeiros!D79</f>
        <v>-87.197960229423188</v>
      </c>
    </row>
    <row r="218" spans="1:17" ht="15.75">
      <c r="A218" s="846" t="s">
        <v>696</v>
      </c>
      <c r="B218" s="846" t="s">
        <v>1290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-0.67949281945133488</v>
      </c>
      <c r="Q218" s="232">
        <f ca="1">Financeiros!D80</f>
        <v>-0.67949281945133488</v>
      </c>
    </row>
    <row r="219" spans="1:17" ht="15.75">
      <c r="A219" s="846" t="s">
        <v>696</v>
      </c>
      <c r="B219" s="846" t="s">
        <v>1290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-5.0251917978680192</v>
      </c>
      <c r="Q219" s="232">
        <f ca="1">Financeiros!D81</f>
        <v>-5.0251917978680192</v>
      </c>
    </row>
    <row r="220" spans="1:17" ht="15.75">
      <c r="A220" s="846" t="s">
        <v>696</v>
      </c>
      <c r="B220" s="846" t="s">
        <v>1290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-107712.94469255264</v>
      </c>
      <c r="Q220" s="232">
        <f ca="1">Financeiros!D82</f>
        <v>-107712.94469255264</v>
      </c>
    </row>
    <row r="221" spans="1:17" ht="15.75">
      <c r="A221" s="846" t="s">
        <v>696</v>
      </c>
      <c r="B221" s="846" t="s">
        <v>1290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696</v>
      </c>
      <c r="B222" s="846" t="s">
        <v>1290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-14564.652539550798</v>
      </c>
      <c r="Q222" s="232">
        <f ca="1">Financeiros!D84</f>
        <v>-14564.652539550798</v>
      </c>
    </row>
    <row r="223" spans="1:17" ht="15.75">
      <c r="A223" s="846" t="s">
        <v>696</v>
      </c>
      <c r="B223" s="846" t="s">
        <v>1290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-113.49550829388573</v>
      </c>
      <c r="Q223" s="232">
        <f ca="1">Financeiros!D85</f>
        <v>-113.49550829388573</v>
      </c>
    </row>
    <row r="224" spans="1:17" ht="15.75">
      <c r="A224" s="846" t="s">
        <v>696</v>
      </c>
      <c r="B224" s="846" t="s">
        <v>1290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-839.35647448610553</v>
      </c>
      <c r="Q224" s="232">
        <f ca="1">Financeiros!D86</f>
        <v>-839.35647448610553</v>
      </c>
    </row>
    <row r="225" spans="1:17" ht="15.75">
      <c r="A225" s="846" t="s">
        <v>696</v>
      </c>
      <c r="B225" s="846" t="s">
        <v>1290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129589.34399424128</v>
      </c>
      <c r="Q225" s="232">
        <f ca="1">Financeiros!D87</f>
        <v>129589.34399424128</v>
      </c>
    </row>
    <row r="226" spans="1:17" ht="15.75">
      <c r="A226" s="846" t="s">
        <v>696</v>
      </c>
      <c r="B226" s="846" t="s">
        <v>1290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696</v>
      </c>
      <c r="B227" s="846" t="s">
        <v>1290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17522.719980330705</v>
      </c>
      <c r="Q227" s="232">
        <f ca="1">Financeiros!D89</f>
        <v>17522.719980330705</v>
      </c>
    </row>
    <row r="228" spans="1:17" ht="15.75">
      <c r="A228" s="846" t="s">
        <v>696</v>
      </c>
      <c r="B228" s="846" t="s">
        <v>1290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136.5463409071067</v>
      </c>
      <c r="Q228" s="232">
        <f ca="1">Financeiros!D90</f>
        <v>136.5463409071067</v>
      </c>
    </row>
    <row r="229" spans="1:17" ht="15.75">
      <c r="A229" s="846" t="s">
        <v>696</v>
      </c>
      <c r="B229" s="846" t="s">
        <v>1290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1009.8289970294916</v>
      </c>
      <c r="Q229" s="232">
        <f ca="1">Financeiros!D91</f>
        <v>1009.8289970294916</v>
      </c>
    </row>
    <row r="230" spans="1:17" ht="15.75">
      <c r="A230" s="846" t="s">
        <v>696</v>
      </c>
      <c r="B230" s="846" t="s">
        <v>1290</v>
      </c>
      <c r="C230" s="846" t="str">
        <f>Financeiros!C92</f>
        <v>Diferimento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696</v>
      </c>
      <c r="B231" s="846" t="s">
        <v>1290</v>
      </c>
      <c r="C231" s="846" t="str">
        <f>Financeiros!C93</f>
        <v>Diferimento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696</v>
      </c>
      <c r="B232" s="846" t="s">
        <v>1290</v>
      </c>
      <c r="C232" s="846" t="str">
        <f>Financeiros!C94</f>
        <v>Diferimento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696</v>
      </c>
      <c r="B233" s="846" t="s">
        <v>1290</v>
      </c>
      <c r="C233" s="846" t="str">
        <f>Financeiros!C95</f>
        <v>Diferimento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696</v>
      </c>
      <c r="B234" s="846" t="s">
        <v>1290</v>
      </c>
      <c r="C234" s="846" t="str">
        <f>Financeiros!C96</f>
        <v>Diferimento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696</v>
      </c>
      <c r="B235" s="846" t="s">
        <v>1290</v>
      </c>
      <c r="C235" s="846" t="str">
        <f>Financeiros!C97</f>
        <v xml:space="preserve">Diferimento Transporte - Uso do Sistema de Distribuição </v>
      </c>
      <c r="D235" s="846">
        <v>2</v>
      </c>
      <c r="E235" s="846">
        <v>2</v>
      </c>
      <c r="F235" s="846">
        <f>Financeiros!H97</f>
        <v>22</v>
      </c>
      <c r="G235" s="846">
        <f>Financeiros!I97</f>
        <v>60</v>
      </c>
      <c r="H235" s="846">
        <f>Financeiros!J97</f>
        <v>999</v>
      </c>
      <c r="I235" s="846">
        <f>Financeiros!K97</f>
        <v>1</v>
      </c>
      <c r="J235" s="846">
        <f>Financeiros!L97</f>
        <v>7</v>
      </c>
      <c r="K235" s="846">
        <f>Financeiros!M97</f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-300000</v>
      </c>
      <c r="Q235" s="232">
        <f>Financeiros!D97</f>
        <v>-300000</v>
      </c>
    </row>
    <row r="236" spans="1:17" ht="15.75">
      <c r="A236" s="846" t="s">
        <v>696</v>
      </c>
      <c r="B236" s="846" t="s">
        <v>1290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696</v>
      </c>
      <c r="B237" s="846" t="s">
        <v>1290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696</v>
      </c>
      <c r="B238" s="846" t="s">
        <v>1290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85" t="s">
        <v>1475</v>
      </c>
      <c r="B239" s="1686" t="s">
        <v>1475</v>
      </c>
      <c r="C239" s="1686" t="s">
        <v>1475</v>
      </c>
      <c r="D239" s="1686">
        <v>99</v>
      </c>
      <c r="E239" s="1686">
        <v>99</v>
      </c>
      <c r="F239" s="1686">
        <v>999</v>
      </c>
      <c r="G239" s="1686">
        <v>999999</v>
      </c>
      <c r="H239" s="1686">
        <v>999</v>
      </c>
      <c r="I239" s="1686">
        <v>99</v>
      </c>
      <c r="J239" s="1686">
        <v>999</v>
      </c>
      <c r="K239" s="1686">
        <v>9</v>
      </c>
      <c r="L239" s="1686">
        <v>99</v>
      </c>
      <c r="M239" s="1686">
        <v>9</v>
      </c>
      <c r="N239" s="1686">
        <v>99</v>
      </c>
      <c r="O239" s="1683">
        <v>99999</v>
      </c>
      <c r="P239" s="1687">
        <f>IF(ISNUMBER(Q239),Q239,0)</f>
        <v>0</v>
      </c>
      <c r="Q239" s="1688">
        <v>0</v>
      </c>
    </row>
    <row r="240" spans="1:17" ht="15.75">
      <c r="A240" s="1685" t="s">
        <v>1475</v>
      </c>
      <c r="B240" s="1686" t="s">
        <v>1475</v>
      </c>
      <c r="C240" s="1686" t="s">
        <v>1475</v>
      </c>
      <c r="D240" s="1686">
        <v>99</v>
      </c>
      <c r="E240" s="1686">
        <v>99</v>
      </c>
      <c r="F240" s="1686">
        <v>999</v>
      </c>
      <c r="G240" s="1686">
        <v>999999</v>
      </c>
      <c r="H240" s="1686">
        <v>999</v>
      </c>
      <c r="I240" s="1686">
        <v>99</v>
      </c>
      <c r="J240" s="1686">
        <v>999</v>
      </c>
      <c r="K240" s="1686">
        <v>9</v>
      </c>
      <c r="L240" s="1686">
        <v>99</v>
      </c>
      <c r="M240" s="1686">
        <v>9</v>
      </c>
      <c r="N240" s="1686">
        <v>99</v>
      </c>
      <c r="O240" s="1683">
        <v>99999</v>
      </c>
      <c r="P240" s="1687">
        <f>IF(ISNUMBER(Q240),Q240,0)</f>
        <v>0</v>
      </c>
      <c r="Q240" s="1688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2" bestFit="1" customWidth="1"/>
    <col min="2" max="2" width="12.5703125" style="492" bestFit="1" customWidth="1"/>
    <col min="3" max="3" width="10.140625" style="492" customWidth="1"/>
    <col min="4" max="4" width="50.42578125" style="492" bestFit="1" customWidth="1"/>
    <col min="5" max="5" width="41.140625" style="492" bestFit="1" customWidth="1"/>
    <col min="6" max="6" width="43.28515625" style="492" bestFit="1" customWidth="1"/>
    <col min="7" max="7" width="34.7109375" style="492" bestFit="1" customWidth="1"/>
    <col min="8" max="8" width="42.7109375" style="492" bestFit="1" customWidth="1"/>
    <col min="9" max="9" width="33.42578125" style="492" bestFit="1" customWidth="1"/>
    <col min="10" max="10" width="25.42578125" style="492" bestFit="1" customWidth="1"/>
    <col min="11" max="11" width="30.85546875" style="492" bestFit="1" customWidth="1"/>
    <col min="12" max="14" width="13" style="492" customWidth="1"/>
    <col min="15" max="15" width="12.5703125" style="492" bestFit="1" customWidth="1"/>
    <col min="16" max="16" width="12.5703125" style="492" customWidth="1"/>
    <col min="17" max="19" width="13" style="492" customWidth="1"/>
    <col min="20" max="20" width="41.140625" style="492" customWidth="1"/>
    <col min="21" max="22" width="13" style="492" customWidth="1"/>
    <col min="23" max="33" width="13" style="492" bestFit="1" customWidth="1"/>
    <col min="34" max="36" width="12.5703125" style="492" bestFit="1" customWidth="1"/>
    <col min="37" max="37" width="49.42578125" style="492" bestFit="1" customWidth="1"/>
    <col min="38" max="38" width="17.5703125" style="492" bestFit="1" customWidth="1"/>
    <col min="39" max="39" width="18" style="492" bestFit="1" customWidth="1"/>
    <col min="40" max="40" width="17.5703125" style="492" bestFit="1" customWidth="1"/>
    <col min="41" max="41" width="18" style="492" bestFit="1" customWidth="1"/>
    <col min="42" max="42" width="17" style="492" bestFit="1" customWidth="1"/>
    <col min="43" max="43" width="17.5703125" style="492" bestFit="1" customWidth="1"/>
    <col min="44" max="44" width="18" style="492" bestFit="1" customWidth="1"/>
    <col min="45" max="47" width="17.5703125" style="492" bestFit="1" customWidth="1"/>
    <col min="48" max="48" width="17" style="492" bestFit="1" customWidth="1"/>
    <col min="49" max="51" width="17.5703125" style="492" bestFit="1" customWidth="1"/>
    <col min="52" max="52" width="17" style="492" bestFit="1" customWidth="1"/>
    <col min="53" max="53" width="17.5703125" style="492" bestFit="1" customWidth="1"/>
    <col min="54" max="54" width="40.85546875" style="492" bestFit="1" customWidth="1"/>
    <col min="55" max="70" width="10.140625" style="492" bestFit="1" customWidth="1"/>
    <col min="71" max="71" width="42.7109375" style="492" bestFit="1" customWidth="1"/>
    <col min="72" max="72" width="16.5703125" style="492" bestFit="1" customWidth="1"/>
    <col min="73" max="75" width="17.5703125" style="492" bestFit="1" customWidth="1"/>
    <col min="76" max="76" width="17" style="492" bestFit="1" customWidth="1"/>
    <col min="77" max="77" width="17.5703125" style="492" bestFit="1" customWidth="1"/>
    <col min="78" max="79" width="17" style="492" bestFit="1" customWidth="1"/>
    <col min="80" max="80" width="17.5703125" style="492" bestFit="1" customWidth="1"/>
    <col min="81" max="82" width="17" style="492" bestFit="1" customWidth="1"/>
    <col min="83" max="84" width="17.5703125" style="492" bestFit="1" customWidth="1"/>
    <col min="85" max="86" width="18" style="492" bestFit="1" customWidth="1"/>
    <col min="87" max="87" width="17" style="492" bestFit="1" customWidth="1"/>
    <col min="88" max="88" width="33.42578125" style="492" bestFit="1" customWidth="1"/>
    <col min="89" max="104" width="10.140625" style="492" bestFit="1" customWidth="1"/>
    <col min="105" max="105" width="25.42578125" style="492" bestFit="1" customWidth="1"/>
    <col min="106" max="119" width="10.140625" style="492" bestFit="1" customWidth="1"/>
    <col min="120" max="120" width="11.140625" style="492" bestFit="1" customWidth="1"/>
    <col min="121" max="121" width="10.140625" style="492" bestFit="1" customWidth="1"/>
    <col min="122" max="122" width="30.85546875" style="492" bestFit="1" customWidth="1"/>
    <col min="123" max="123" width="13.42578125" style="492" bestFit="1" customWidth="1"/>
    <col min="124" max="125" width="14" style="492" bestFit="1" customWidth="1"/>
    <col min="126" max="126" width="13.42578125" style="492" bestFit="1" customWidth="1"/>
    <col min="127" max="127" width="14.42578125" style="492" bestFit="1" customWidth="1"/>
    <col min="128" max="130" width="14" style="492" bestFit="1" customWidth="1"/>
    <col min="131" max="131" width="14.42578125" style="492" bestFit="1" customWidth="1"/>
    <col min="132" max="132" width="14" style="492" bestFit="1" customWidth="1"/>
    <col min="133" max="133" width="14.42578125" style="492" bestFit="1" customWidth="1"/>
    <col min="134" max="134" width="14" style="492" bestFit="1" customWidth="1"/>
    <col min="135" max="135" width="13.42578125" style="492" bestFit="1" customWidth="1"/>
    <col min="136" max="138" width="14.42578125" style="492" bestFit="1" customWidth="1"/>
    <col min="139" max="16384" width="9.140625" style="492"/>
  </cols>
  <sheetData>
    <row r="1" spans="1:138">
      <c r="A1" s="1393" t="s">
        <v>1515</v>
      </c>
      <c r="B1" s="492">
        <f>YEAR(SAS_RA0_DataInicio)*100+MONTH(SAS_RA0_DataInicio)</f>
        <v>202109</v>
      </c>
      <c r="D1" s="1393" t="s">
        <v>1516</v>
      </c>
      <c r="E1" s="1393" t="s">
        <v>1517</v>
      </c>
      <c r="F1" s="1393" t="s">
        <v>1518</v>
      </c>
    </row>
    <row r="2" spans="1:138" ht="15.75">
      <c r="A2" s="1393" t="s">
        <v>1519</v>
      </c>
      <c r="B2" s="492">
        <f>YEAR(SAS_RA0_DataFim)*100+MONTH(SAS_RA0_DataFim)</f>
        <v>202208</v>
      </c>
      <c r="D2" s="1394" t="str">
        <f>UPPER(VLOOKUP(LnkTXTSigla,Informacoes[],9,FALSE))</f>
        <v>44834</v>
      </c>
      <c r="E2" s="492">
        <f>IF(_xlfn.MAXIFS(C:C,A:A,D2)&gt;B2,B2,_xlfn.MAXIFS(C:C,A:A,D2))</f>
        <v>0</v>
      </c>
      <c r="F2" s="494">
        <f>YEAR(SAS_RA0_DataFim)*100+MONTH(SAS_RA0_DataFim)-E2+1</f>
        <v>202209</v>
      </c>
    </row>
    <row r="3" spans="1:138" ht="15.75">
      <c r="A3" s="1395" t="s">
        <v>189</v>
      </c>
      <c r="B3" s="494">
        <f>YEAR(SAS_RA0_DataFim)*100+MONTH(SAS_RA0_DataFim)-MAX(C:C)+1</f>
        <v>202209</v>
      </c>
      <c r="D3" s="1394" t="str">
        <f>UPPER(VLOOKUP(LnkTXTSigla,Informacoes[],11,FALSE))</f>
        <v>CELESC</v>
      </c>
      <c r="E3" s="492">
        <f>IF(_xlfn.MAXIFS(C:C,A:A,D3)&gt;B2,B2,_xlfn.MAXIFS(C:C,A:A,D3))</f>
        <v>0</v>
      </c>
      <c r="F3" s="494">
        <f>YEAR(SAS_RA0_DataFim)*100+MONTH(SAS_RA0_DataFim)-E3+1</f>
        <v>202209</v>
      </c>
    </row>
    <row r="4" spans="1:138" ht="15.75">
      <c r="A4" s="508" t="s">
        <v>1520</v>
      </c>
      <c r="B4" s="509" t="s">
        <v>1521</v>
      </c>
    </row>
    <row r="6" spans="1:138" ht="15.75">
      <c r="A6" s="765"/>
      <c r="B6" s="766"/>
      <c r="C6" s="766"/>
      <c r="D6" s="50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3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3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6" t="s">
        <v>1522</v>
      </c>
      <c r="B1" s="1397">
        <v>0</v>
      </c>
    </row>
    <row r="2" spans="1:2">
      <c r="A2" s="1396" t="s">
        <v>1523</v>
      </c>
      <c r="B2" s="1397">
        <v>0</v>
      </c>
    </row>
    <row r="3" spans="1:2">
      <c r="A3" s="1396" t="s">
        <v>1524</v>
      </c>
      <c r="B3" s="1397">
        <v>0</v>
      </c>
    </row>
    <row r="4" spans="1:2">
      <c r="A4" s="1396" t="s">
        <v>1525</v>
      </c>
      <c r="B4" s="1397">
        <v>0</v>
      </c>
    </row>
    <row r="5" spans="1:2">
      <c r="A5" s="1396" t="s">
        <v>1526</v>
      </c>
      <c r="B5" s="1397">
        <v>0</v>
      </c>
    </row>
    <row r="6" spans="1:2">
      <c r="A6" s="1396" t="s">
        <v>1527</v>
      </c>
      <c r="B6" s="1397">
        <v>0</v>
      </c>
    </row>
    <row r="7" spans="1:2">
      <c r="A7" s="1396" t="s">
        <v>1528</v>
      </c>
      <c r="B7" s="1397">
        <v>0</v>
      </c>
    </row>
    <row r="8" spans="1:2">
      <c r="A8" s="1396" t="s">
        <v>1529</v>
      </c>
      <c r="B8" s="1397">
        <v>0</v>
      </c>
    </row>
    <row r="9" spans="1:2">
      <c r="A9" s="1396" t="s">
        <v>1530</v>
      </c>
      <c r="B9" s="1397">
        <v>0.45</v>
      </c>
    </row>
    <row r="10" spans="1:2">
      <c r="A10" s="1396" t="s">
        <v>1531</v>
      </c>
      <c r="B10" s="1397">
        <v>0.4</v>
      </c>
    </row>
    <row r="11" spans="1:2">
      <c r="A11" s="1396" t="s">
        <v>1532</v>
      </c>
      <c r="B11" s="1396">
        <v>0.65</v>
      </c>
    </row>
    <row r="12" spans="1:2">
      <c r="A12" s="1396" t="s">
        <v>1533</v>
      </c>
      <c r="B12" s="1396">
        <v>0.4</v>
      </c>
    </row>
    <row r="13" spans="1:2">
      <c r="A13" s="1396" t="s">
        <v>1534</v>
      </c>
      <c r="B13" s="1396">
        <v>0.1</v>
      </c>
    </row>
    <row r="14" spans="1:2">
      <c r="A14" s="1396" t="s">
        <v>1535</v>
      </c>
      <c r="B14" s="1396">
        <v>0</v>
      </c>
    </row>
    <row r="15" spans="1:2">
      <c r="A15" s="1396" t="s">
        <v>1536</v>
      </c>
      <c r="B15" s="1396">
        <v>0.3</v>
      </c>
    </row>
    <row r="16" spans="1:2">
      <c r="A16" s="1396" t="s">
        <v>1537</v>
      </c>
      <c r="B16" s="1396">
        <v>0.3</v>
      </c>
    </row>
    <row r="17" spans="1:13">
      <c r="A17" s="1396" t="s">
        <v>1538</v>
      </c>
      <c r="B17" s="1396">
        <v>0.4</v>
      </c>
    </row>
    <row r="20" spans="1:13" ht="15">
      <c r="D20" s="1398" t="s">
        <v>1377</v>
      </c>
      <c r="E20" s="1398" t="s">
        <v>960</v>
      </c>
      <c r="F20" s="1398" t="s">
        <v>1539</v>
      </c>
      <c r="G20" s="1398" t="s">
        <v>1540</v>
      </c>
      <c r="H20" s="1398" t="s">
        <v>1541</v>
      </c>
      <c r="I20" s="1398" t="s">
        <v>1542</v>
      </c>
      <c r="J20" s="1398" t="s">
        <v>1543</v>
      </c>
      <c r="K20" s="1398" t="s">
        <v>1544</v>
      </c>
      <c r="L20" s="1398" t="s">
        <v>1545</v>
      </c>
      <c r="M20" s="1398" t="s">
        <v>1044</v>
      </c>
    </row>
    <row r="21" spans="1:13" ht="30" hidden="1">
      <c r="D21" s="1399">
        <v>26</v>
      </c>
      <c r="E21" s="1400" t="s">
        <v>1546</v>
      </c>
      <c r="F21" s="1400" t="s">
        <v>113</v>
      </c>
      <c r="G21" s="1401">
        <v>41243</v>
      </c>
      <c r="H21" s="1402">
        <v>41243</v>
      </c>
      <c r="I21" s="1400" t="s">
        <v>963</v>
      </c>
      <c r="J21" s="1400" t="s">
        <v>114</v>
      </c>
      <c r="K21" s="1399">
        <v>1663</v>
      </c>
      <c r="L21" s="1400" t="s">
        <v>1547</v>
      </c>
      <c r="M21" s="1400" t="s">
        <v>1548</v>
      </c>
    </row>
    <row r="22" spans="1:13" ht="30" hidden="1">
      <c r="D22" s="1399">
        <v>28</v>
      </c>
      <c r="E22" s="1400" t="s">
        <v>1549</v>
      </c>
      <c r="F22" s="1400" t="s">
        <v>1550</v>
      </c>
      <c r="G22" s="1401">
        <v>41214</v>
      </c>
      <c r="H22" s="470"/>
      <c r="I22" s="1400" t="s">
        <v>963</v>
      </c>
      <c r="J22" s="1400" t="s">
        <v>114</v>
      </c>
      <c r="K22" s="1399">
        <v>1665</v>
      </c>
      <c r="L22" s="1400" t="s">
        <v>114</v>
      </c>
      <c r="M22" s="1400" t="s">
        <v>1548</v>
      </c>
    </row>
    <row r="23" spans="1:13" ht="30" hidden="1">
      <c r="D23" s="1399">
        <v>31</v>
      </c>
      <c r="E23" s="1400" t="s">
        <v>1551</v>
      </c>
      <c r="F23" s="1400" t="s">
        <v>115</v>
      </c>
      <c r="G23" s="1401">
        <v>41243</v>
      </c>
      <c r="H23" s="470"/>
      <c r="I23" s="1400" t="s">
        <v>963</v>
      </c>
      <c r="J23" s="1400" t="s">
        <v>114</v>
      </c>
      <c r="K23" s="1399">
        <v>1666</v>
      </c>
      <c r="L23" s="1400" t="s">
        <v>114</v>
      </c>
      <c r="M23" s="1400" t="s">
        <v>1548</v>
      </c>
    </row>
    <row r="24" spans="1:13" ht="30" hidden="1">
      <c r="D24" s="1399">
        <v>32</v>
      </c>
      <c r="E24" s="1400" t="s">
        <v>1552</v>
      </c>
      <c r="F24" s="1400" t="s">
        <v>116</v>
      </c>
      <c r="G24" s="1401">
        <v>41094</v>
      </c>
      <c r="H24" s="470"/>
      <c r="I24" s="1400" t="s">
        <v>963</v>
      </c>
      <c r="J24" s="1400" t="s">
        <v>114</v>
      </c>
      <c r="K24" s="1399">
        <v>1668</v>
      </c>
      <c r="L24" s="1400" t="s">
        <v>1553</v>
      </c>
      <c r="M24" s="1400" t="s">
        <v>1548</v>
      </c>
    </row>
    <row r="25" spans="1:13" ht="30" hidden="1">
      <c r="D25" s="1399">
        <v>37</v>
      </c>
      <c r="E25" s="1400" t="s">
        <v>1554</v>
      </c>
      <c r="F25" s="1400" t="s">
        <v>117</v>
      </c>
      <c r="G25" s="1401">
        <v>41149</v>
      </c>
      <c r="H25" s="470"/>
      <c r="I25" s="1400" t="s">
        <v>963</v>
      </c>
      <c r="J25" s="1400" t="s">
        <v>114</v>
      </c>
      <c r="K25" s="1399">
        <v>1669</v>
      </c>
      <c r="L25" s="1400" t="s">
        <v>1555</v>
      </c>
      <c r="M25" s="1400" t="s">
        <v>1548</v>
      </c>
    </row>
    <row r="26" spans="1:13" ht="30" hidden="1">
      <c r="D26" s="1399">
        <v>38</v>
      </c>
      <c r="E26" s="1400" t="s">
        <v>1556</v>
      </c>
      <c r="F26" s="1400" t="s">
        <v>118</v>
      </c>
      <c r="G26" s="1401">
        <v>41180</v>
      </c>
      <c r="H26" s="1402">
        <v>41149</v>
      </c>
      <c r="I26" s="1400" t="s">
        <v>963</v>
      </c>
      <c r="J26" s="1400" t="s">
        <v>114</v>
      </c>
      <c r="K26" s="1399">
        <v>1670</v>
      </c>
      <c r="L26" s="1400" t="s">
        <v>1557</v>
      </c>
      <c r="M26" s="1400" t="s">
        <v>1548</v>
      </c>
    </row>
    <row r="27" spans="1:13" ht="30" hidden="1">
      <c r="D27" s="1399">
        <v>39</v>
      </c>
      <c r="E27" s="1400" t="s">
        <v>1558</v>
      </c>
      <c r="F27" s="1400" t="s">
        <v>1559</v>
      </c>
      <c r="G27" s="1401">
        <v>41021</v>
      </c>
      <c r="H27" s="470"/>
      <c r="I27" s="1400" t="s">
        <v>963</v>
      </c>
      <c r="J27" s="1400" t="s">
        <v>114</v>
      </c>
      <c r="K27" s="1399">
        <v>1671</v>
      </c>
      <c r="L27" s="1400" t="s">
        <v>1560</v>
      </c>
      <c r="M27" s="1400" t="s">
        <v>1548</v>
      </c>
    </row>
    <row r="28" spans="1:13" ht="30" hidden="1">
      <c r="D28" s="1399">
        <v>40</v>
      </c>
      <c r="E28" s="1400" t="s">
        <v>1561</v>
      </c>
      <c r="F28" s="1400" t="s">
        <v>119</v>
      </c>
      <c r="G28" s="1401">
        <v>41021</v>
      </c>
      <c r="H28" s="470"/>
      <c r="I28" s="1400" t="s">
        <v>963</v>
      </c>
      <c r="J28" s="1400" t="s">
        <v>114</v>
      </c>
      <c r="K28" s="1399">
        <v>1672</v>
      </c>
      <c r="L28" s="1400" t="s">
        <v>1562</v>
      </c>
      <c r="M28" s="1400" t="s">
        <v>1548</v>
      </c>
    </row>
    <row r="29" spans="1:13" ht="30" hidden="1">
      <c r="D29" s="1399">
        <v>43</v>
      </c>
      <c r="E29" s="1400" t="s">
        <v>1563</v>
      </c>
      <c r="F29" s="1400" t="s">
        <v>120</v>
      </c>
      <c r="G29" s="1401">
        <v>41028</v>
      </c>
      <c r="H29" s="470"/>
      <c r="I29" s="1400" t="s">
        <v>963</v>
      </c>
      <c r="J29" s="1400" t="s">
        <v>114</v>
      </c>
      <c r="K29" s="1399">
        <v>1674</v>
      </c>
      <c r="L29" s="1400" t="s">
        <v>1564</v>
      </c>
      <c r="M29" s="1400" t="s">
        <v>1548</v>
      </c>
    </row>
    <row r="30" spans="1:13" ht="30" hidden="1">
      <c r="D30" s="1399">
        <v>44</v>
      </c>
      <c r="E30" s="1400" t="s">
        <v>1565</v>
      </c>
      <c r="F30" s="1400" t="s">
        <v>121</v>
      </c>
      <c r="G30" s="1401">
        <v>41180</v>
      </c>
      <c r="H30" s="470"/>
      <c r="I30" s="1400" t="s">
        <v>963</v>
      </c>
      <c r="J30" s="1400" t="s">
        <v>114</v>
      </c>
      <c r="K30" s="1399">
        <v>1675</v>
      </c>
      <c r="L30" s="1400" t="s">
        <v>1566</v>
      </c>
      <c r="M30" s="1400" t="s">
        <v>1548</v>
      </c>
    </row>
    <row r="31" spans="1:13" ht="30" hidden="1">
      <c r="D31" s="1399">
        <v>46</v>
      </c>
      <c r="E31" s="1400" t="s">
        <v>1567</v>
      </c>
      <c r="F31" s="1400" t="s">
        <v>122</v>
      </c>
      <c r="G31" s="1401">
        <v>41051</v>
      </c>
      <c r="H31" s="1402">
        <v>41257</v>
      </c>
      <c r="I31" s="1400" t="s">
        <v>963</v>
      </c>
      <c r="J31" s="1400" t="s">
        <v>1568</v>
      </c>
      <c r="K31" s="1399">
        <v>1676</v>
      </c>
      <c r="L31" s="1400" t="s">
        <v>1569</v>
      </c>
      <c r="M31" s="1400" t="s">
        <v>1548</v>
      </c>
    </row>
    <row r="32" spans="1:13" ht="30" hidden="1">
      <c r="D32" s="1399">
        <v>47</v>
      </c>
      <c r="E32" s="1400" t="s">
        <v>1570</v>
      </c>
      <c r="F32" s="1400" t="s">
        <v>123</v>
      </c>
      <c r="G32" s="1401">
        <v>41021</v>
      </c>
      <c r="H32" s="470"/>
      <c r="I32" s="1400" t="s">
        <v>963</v>
      </c>
      <c r="J32" s="1400" t="s">
        <v>114</v>
      </c>
      <c r="K32" s="1399">
        <v>1677</v>
      </c>
      <c r="L32" s="1400" t="s">
        <v>1571</v>
      </c>
      <c r="M32" s="1400" t="s">
        <v>1548</v>
      </c>
    </row>
    <row r="33" spans="4:13" ht="15" hidden="1">
      <c r="D33" s="1399">
        <v>51</v>
      </c>
      <c r="E33" s="1400" t="s">
        <v>1572</v>
      </c>
      <c r="F33" s="1400" t="s">
        <v>124</v>
      </c>
      <c r="G33" s="1401">
        <v>41235</v>
      </c>
      <c r="H33" s="1402">
        <v>41210</v>
      </c>
      <c r="I33" s="1400" t="s">
        <v>963</v>
      </c>
      <c r="J33" s="1400" t="s">
        <v>1568</v>
      </c>
      <c r="K33" s="1399">
        <v>1682</v>
      </c>
      <c r="L33" s="1400" t="s">
        <v>1573</v>
      </c>
      <c r="M33" s="1400" t="s">
        <v>1548</v>
      </c>
    </row>
    <row r="34" spans="4:13" ht="15" hidden="1">
      <c r="D34" s="1399">
        <v>56</v>
      </c>
      <c r="E34" s="1400" t="s">
        <v>1574</v>
      </c>
      <c r="F34" s="1400" t="s">
        <v>1575</v>
      </c>
      <c r="G34" s="470"/>
      <c r="H34" s="470"/>
      <c r="I34" s="1400" t="s">
        <v>963</v>
      </c>
      <c r="J34" s="1400" t="s">
        <v>114</v>
      </c>
      <c r="K34" s="1399">
        <v>1683</v>
      </c>
      <c r="L34" s="1400" t="s">
        <v>114</v>
      </c>
      <c r="M34" s="1400" t="s">
        <v>1548</v>
      </c>
    </row>
    <row r="35" spans="4:13" ht="30" hidden="1">
      <c r="D35" s="1399">
        <v>63</v>
      </c>
      <c r="E35" s="1400" t="s">
        <v>1576</v>
      </c>
      <c r="F35" s="1400" t="s">
        <v>125</v>
      </c>
      <c r="G35" s="1401">
        <v>41007</v>
      </c>
      <c r="H35" s="470"/>
      <c r="I35" s="1400" t="s">
        <v>963</v>
      </c>
      <c r="J35" s="1400" t="s">
        <v>114</v>
      </c>
      <c r="K35" s="1399">
        <v>1688</v>
      </c>
      <c r="L35" s="1400" t="s">
        <v>1577</v>
      </c>
      <c r="M35" s="1400" t="s">
        <v>1548</v>
      </c>
    </row>
    <row r="36" spans="4:13" ht="30" hidden="1">
      <c r="D36" s="1399">
        <v>69</v>
      </c>
      <c r="E36" s="1400" t="s">
        <v>1578</v>
      </c>
      <c r="F36" s="1400" t="s">
        <v>1579</v>
      </c>
      <c r="G36" s="1401">
        <v>40990</v>
      </c>
      <c r="H36" s="1402">
        <v>42038</v>
      </c>
      <c r="I36" s="1400" t="s">
        <v>963</v>
      </c>
      <c r="J36" s="1400" t="s">
        <v>114</v>
      </c>
      <c r="K36" s="1399">
        <v>1692</v>
      </c>
      <c r="L36" s="1400" t="s">
        <v>1580</v>
      </c>
      <c r="M36" s="1400" t="s">
        <v>1548</v>
      </c>
    </row>
    <row r="37" spans="4:13" ht="30" hidden="1">
      <c r="D37" s="1399">
        <v>70</v>
      </c>
      <c r="E37" s="1400" t="s">
        <v>1581</v>
      </c>
      <c r="F37" s="1400" t="s">
        <v>1582</v>
      </c>
      <c r="G37" s="1401">
        <v>40990</v>
      </c>
      <c r="H37" s="1402">
        <v>42038</v>
      </c>
      <c r="I37" s="1400" t="s">
        <v>963</v>
      </c>
      <c r="J37" s="1400" t="s">
        <v>114</v>
      </c>
      <c r="K37" s="1399">
        <v>1693</v>
      </c>
      <c r="L37" s="1400" t="s">
        <v>1583</v>
      </c>
      <c r="M37" s="1400" t="s">
        <v>1548</v>
      </c>
    </row>
    <row r="38" spans="4:13" ht="30" hidden="1">
      <c r="D38" s="1399">
        <v>71</v>
      </c>
      <c r="E38" s="1400" t="s">
        <v>1584</v>
      </c>
      <c r="F38" s="1400" t="s">
        <v>1585</v>
      </c>
      <c r="G38" s="1401">
        <v>40990</v>
      </c>
      <c r="H38" s="1402">
        <v>42038</v>
      </c>
      <c r="I38" s="1400" t="s">
        <v>963</v>
      </c>
      <c r="J38" s="1400" t="s">
        <v>114</v>
      </c>
      <c r="K38" s="1399">
        <v>1694</v>
      </c>
      <c r="L38" s="1400" t="s">
        <v>1586</v>
      </c>
      <c r="M38" s="1400" t="s">
        <v>1548</v>
      </c>
    </row>
    <row r="39" spans="4:13" ht="30" hidden="1">
      <c r="D39" s="1399">
        <v>72</v>
      </c>
      <c r="E39" s="1400" t="s">
        <v>1587</v>
      </c>
      <c r="F39" s="1400" t="s">
        <v>166</v>
      </c>
      <c r="G39" s="1401">
        <v>40990</v>
      </c>
      <c r="H39" s="1402">
        <v>42038</v>
      </c>
      <c r="I39" s="1400" t="s">
        <v>963</v>
      </c>
      <c r="J39" s="1400" t="s">
        <v>114</v>
      </c>
      <c r="K39" s="1399">
        <v>1695</v>
      </c>
      <c r="L39" s="1400" t="s">
        <v>1588</v>
      </c>
      <c r="M39" s="1400" t="s">
        <v>1548</v>
      </c>
    </row>
    <row r="40" spans="4:13" ht="30" hidden="1">
      <c r="D40" s="1399">
        <v>73</v>
      </c>
      <c r="E40" s="1400" t="s">
        <v>1589</v>
      </c>
      <c r="F40" s="1400" t="s">
        <v>1590</v>
      </c>
      <c r="G40" s="1401">
        <v>40990</v>
      </c>
      <c r="H40" s="1402">
        <v>42038</v>
      </c>
      <c r="I40" s="1400" t="s">
        <v>963</v>
      </c>
      <c r="J40" s="1400" t="s">
        <v>1568</v>
      </c>
      <c r="K40" s="1399">
        <v>1696</v>
      </c>
      <c r="L40" s="1400" t="s">
        <v>1591</v>
      </c>
      <c r="M40" s="1400" t="s">
        <v>1548</v>
      </c>
    </row>
    <row r="41" spans="4:13" ht="30" hidden="1">
      <c r="D41" s="1399">
        <v>75</v>
      </c>
      <c r="E41" s="1400" t="s">
        <v>1592</v>
      </c>
      <c r="F41" s="1400" t="s">
        <v>1593</v>
      </c>
      <c r="G41" s="1401">
        <v>41039</v>
      </c>
      <c r="H41" s="470"/>
      <c r="I41" s="1400" t="s">
        <v>963</v>
      </c>
      <c r="J41" s="1400" t="s">
        <v>114</v>
      </c>
      <c r="K41" s="1399">
        <v>1697</v>
      </c>
      <c r="L41" s="1400" t="s">
        <v>1594</v>
      </c>
      <c r="M41" s="1400" t="s">
        <v>1548</v>
      </c>
    </row>
    <row r="42" spans="4:13" ht="30" hidden="1">
      <c r="D42" s="1399">
        <v>82</v>
      </c>
      <c r="E42" s="1400" t="s">
        <v>1595</v>
      </c>
      <c r="F42" s="1400" t="s">
        <v>126</v>
      </c>
      <c r="G42" s="1401">
        <v>41089</v>
      </c>
      <c r="H42" s="1402">
        <v>41084</v>
      </c>
      <c r="I42" s="1400" t="s">
        <v>963</v>
      </c>
      <c r="J42" s="1400" t="s">
        <v>1568</v>
      </c>
      <c r="K42" s="1399">
        <v>1701</v>
      </c>
      <c r="L42" s="1400" t="s">
        <v>1596</v>
      </c>
      <c r="M42" s="1400" t="s">
        <v>1548</v>
      </c>
    </row>
    <row r="43" spans="4:13" ht="30" hidden="1">
      <c r="D43" s="1399">
        <v>83</v>
      </c>
      <c r="E43" s="1400" t="s">
        <v>1597</v>
      </c>
      <c r="F43" s="1400" t="s">
        <v>168</v>
      </c>
      <c r="G43" s="1401">
        <v>41147</v>
      </c>
      <c r="H43" s="470"/>
      <c r="I43" s="1400" t="s">
        <v>963</v>
      </c>
      <c r="J43" s="1400" t="s">
        <v>1568</v>
      </c>
      <c r="K43" s="1399">
        <v>1702</v>
      </c>
      <c r="L43" s="1400" t="s">
        <v>1598</v>
      </c>
      <c r="M43" s="1400" t="s">
        <v>1548</v>
      </c>
    </row>
    <row r="44" spans="4:13" ht="30" hidden="1">
      <c r="D44" s="1399">
        <v>84</v>
      </c>
      <c r="E44" s="1400" t="s">
        <v>1599</v>
      </c>
      <c r="F44" s="1400" t="s">
        <v>1600</v>
      </c>
      <c r="G44" s="1401">
        <v>41089</v>
      </c>
      <c r="H44" s="470"/>
      <c r="I44" s="1400" t="s">
        <v>963</v>
      </c>
      <c r="J44" s="1400" t="s">
        <v>1568</v>
      </c>
      <c r="K44" s="1399">
        <v>1703</v>
      </c>
      <c r="L44" s="1400" t="s">
        <v>1601</v>
      </c>
      <c r="M44" s="1400" t="s">
        <v>1548</v>
      </c>
    </row>
    <row r="45" spans="4:13" ht="30" hidden="1">
      <c r="D45" s="1399">
        <v>86</v>
      </c>
      <c r="E45" s="1400" t="s">
        <v>1602</v>
      </c>
      <c r="F45" s="1400" t="s">
        <v>127</v>
      </c>
      <c r="G45" s="1401">
        <v>41150</v>
      </c>
      <c r="H45" s="1402">
        <v>41865</v>
      </c>
      <c r="I45" s="1400" t="s">
        <v>963</v>
      </c>
      <c r="J45" s="1400" t="s">
        <v>1568</v>
      </c>
      <c r="K45" s="1399">
        <v>1704</v>
      </c>
      <c r="L45" s="1400" t="s">
        <v>1603</v>
      </c>
      <c r="M45" s="1400" t="s">
        <v>1548</v>
      </c>
    </row>
    <row r="46" spans="4:13" ht="30" hidden="1">
      <c r="D46" s="1399">
        <v>87</v>
      </c>
      <c r="E46" s="1400" t="s">
        <v>1604</v>
      </c>
      <c r="F46" s="1400" t="s">
        <v>128</v>
      </c>
      <c r="G46" s="1401">
        <v>41150</v>
      </c>
      <c r="H46" s="1402">
        <v>41128</v>
      </c>
      <c r="I46" s="1400" t="s">
        <v>963</v>
      </c>
      <c r="J46" s="1400" t="s">
        <v>1568</v>
      </c>
      <c r="K46" s="1399">
        <v>1705</v>
      </c>
      <c r="L46" s="1400" t="s">
        <v>1605</v>
      </c>
      <c r="M46" s="1400" t="s">
        <v>1548</v>
      </c>
    </row>
    <row r="47" spans="4:13" ht="30" hidden="1">
      <c r="D47" s="1399">
        <v>88</v>
      </c>
      <c r="E47" s="1400" t="s">
        <v>1606</v>
      </c>
      <c r="F47" s="1400" t="s">
        <v>1607</v>
      </c>
      <c r="G47" s="1401">
        <v>41150</v>
      </c>
      <c r="H47" s="1402">
        <v>41865</v>
      </c>
      <c r="I47" s="1400" t="s">
        <v>963</v>
      </c>
      <c r="J47" s="1400" t="s">
        <v>1568</v>
      </c>
      <c r="K47" s="1399">
        <v>1706</v>
      </c>
      <c r="L47" s="1400" t="s">
        <v>1608</v>
      </c>
      <c r="M47" s="1400" t="s">
        <v>1548</v>
      </c>
    </row>
    <row r="48" spans="4:13" ht="15" hidden="1">
      <c r="D48" s="1399">
        <v>95</v>
      </c>
      <c r="E48" s="1400" t="s">
        <v>1609</v>
      </c>
      <c r="F48" s="1400" t="s">
        <v>129</v>
      </c>
      <c r="G48" s="1401">
        <v>41112</v>
      </c>
      <c r="H48" s="1402">
        <v>41089</v>
      </c>
      <c r="I48" s="1400" t="s">
        <v>963</v>
      </c>
      <c r="J48" s="1400" t="s">
        <v>1568</v>
      </c>
      <c r="K48" s="1399">
        <v>1708</v>
      </c>
      <c r="L48" s="1400" t="s">
        <v>1610</v>
      </c>
      <c r="M48" s="1400" t="s">
        <v>1548</v>
      </c>
    </row>
    <row r="49" spans="4:13" ht="30" hidden="1">
      <c r="D49" s="1399">
        <v>103</v>
      </c>
      <c r="E49" s="1400" t="s">
        <v>1611</v>
      </c>
      <c r="F49" s="1400" t="s">
        <v>130</v>
      </c>
      <c r="G49" s="1401">
        <v>41235</v>
      </c>
      <c r="H49" s="1402">
        <v>41164</v>
      </c>
      <c r="I49" s="1400" t="s">
        <v>963</v>
      </c>
      <c r="J49" s="1400" t="s">
        <v>1568</v>
      </c>
      <c r="K49" s="1399">
        <v>1710</v>
      </c>
      <c r="L49" s="1400" t="s">
        <v>1612</v>
      </c>
      <c r="M49" s="1400" t="s">
        <v>1548</v>
      </c>
    </row>
    <row r="50" spans="4:13" ht="30">
      <c r="D50" s="1399">
        <v>213</v>
      </c>
      <c r="E50" s="1400" t="s">
        <v>1613</v>
      </c>
      <c r="F50" s="1400" t="s">
        <v>1614</v>
      </c>
      <c r="G50" s="470"/>
      <c r="H50" s="470"/>
      <c r="I50" s="1400" t="s">
        <v>963</v>
      </c>
      <c r="J50" s="1400" t="s">
        <v>114</v>
      </c>
      <c r="K50" s="1399">
        <v>1757</v>
      </c>
      <c r="L50" s="1400" t="s">
        <v>114</v>
      </c>
      <c r="M50" s="1400" t="s">
        <v>1174</v>
      </c>
    </row>
    <row r="51" spans="4:13" ht="30" hidden="1">
      <c r="D51" s="1399">
        <v>369</v>
      </c>
      <c r="E51" s="1400" t="s">
        <v>1615</v>
      </c>
      <c r="F51" s="1400" t="s">
        <v>131</v>
      </c>
      <c r="G51" s="1401">
        <v>41243</v>
      </c>
      <c r="H51" s="1402">
        <v>41243</v>
      </c>
      <c r="I51" s="1400" t="s">
        <v>963</v>
      </c>
      <c r="J51" s="1400" t="s">
        <v>114</v>
      </c>
      <c r="K51" s="1399">
        <v>1770</v>
      </c>
      <c r="L51" s="1400" t="s">
        <v>1616</v>
      </c>
      <c r="M51" s="1400" t="s">
        <v>1548</v>
      </c>
    </row>
    <row r="52" spans="4:13" ht="15" hidden="1">
      <c r="D52" s="1399">
        <v>370</v>
      </c>
      <c r="E52" s="1400" t="s">
        <v>1617</v>
      </c>
      <c r="F52" s="1400" t="s">
        <v>1618</v>
      </c>
      <c r="G52" s="1401">
        <v>41214</v>
      </c>
      <c r="H52" s="1402">
        <v>41214</v>
      </c>
      <c r="I52" s="1400" t="s">
        <v>963</v>
      </c>
      <c r="J52" s="1400" t="s">
        <v>114</v>
      </c>
      <c r="K52" s="1399">
        <v>1771</v>
      </c>
      <c r="L52" s="1400" t="s">
        <v>1619</v>
      </c>
      <c r="M52" s="1400" t="s">
        <v>1548</v>
      </c>
    </row>
    <row r="53" spans="4:13" ht="30" hidden="1">
      <c r="D53" s="1399">
        <v>371</v>
      </c>
      <c r="E53" s="1400" t="s">
        <v>1620</v>
      </c>
      <c r="F53" s="1400" t="s">
        <v>132</v>
      </c>
      <c r="G53" s="1401">
        <v>40762</v>
      </c>
      <c r="H53" s="470"/>
      <c r="I53" s="1400" t="s">
        <v>963</v>
      </c>
      <c r="J53" s="1400" t="s">
        <v>114</v>
      </c>
      <c r="K53" s="1399">
        <v>1772</v>
      </c>
      <c r="L53" s="1400" t="s">
        <v>1621</v>
      </c>
      <c r="M53" s="1400" t="s">
        <v>1548</v>
      </c>
    </row>
    <row r="54" spans="4:13" ht="30" hidden="1">
      <c r="D54" s="1399">
        <v>380</v>
      </c>
      <c r="E54" s="1400" t="s">
        <v>1622</v>
      </c>
      <c r="F54" s="1400" t="s">
        <v>1623</v>
      </c>
      <c r="G54" s="1401">
        <v>41128</v>
      </c>
      <c r="H54" s="470"/>
      <c r="I54" s="1400" t="s">
        <v>963</v>
      </c>
      <c r="J54" s="1400" t="s">
        <v>114</v>
      </c>
      <c r="K54" s="1399">
        <v>1777</v>
      </c>
      <c r="L54" s="1400" t="s">
        <v>1624</v>
      </c>
      <c r="M54" s="1400" t="s">
        <v>1548</v>
      </c>
    </row>
    <row r="55" spans="4:13" ht="30" hidden="1">
      <c r="D55" s="1399">
        <v>381</v>
      </c>
      <c r="E55" s="1400" t="s">
        <v>1625</v>
      </c>
      <c r="F55" s="1400" t="s">
        <v>133</v>
      </c>
      <c r="G55" s="1401">
        <v>41143</v>
      </c>
      <c r="H55" s="1402">
        <v>41136</v>
      </c>
      <c r="I55" s="1400" t="s">
        <v>963</v>
      </c>
      <c r="J55" s="1400" t="s">
        <v>114</v>
      </c>
      <c r="K55" s="1399">
        <v>1778</v>
      </c>
      <c r="L55" s="1400" t="s">
        <v>1626</v>
      </c>
      <c r="M55" s="1400" t="s">
        <v>1548</v>
      </c>
    </row>
    <row r="56" spans="4:13" ht="30" hidden="1">
      <c r="D56" s="1399">
        <v>382</v>
      </c>
      <c r="E56" s="1400" t="s">
        <v>1627</v>
      </c>
      <c r="F56" s="1400" t="s">
        <v>134</v>
      </c>
      <c r="G56" s="1401">
        <v>40983</v>
      </c>
      <c r="H56" s="1402">
        <v>41220</v>
      </c>
      <c r="I56" s="1400" t="s">
        <v>963</v>
      </c>
      <c r="J56" s="1400" t="s">
        <v>114</v>
      </c>
      <c r="K56" s="1399">
        <v>1779</v>
      </c>
      <c r="L56" s="1400" t="s">
        <v>1628</v>
      </c>
      <c r="M56" s="1400" t="s">
        <v>1548</v>
      </c>
    </row>
    <row r="57" spans="4:13" ht="30" hidden="1">
      <c r="D57" s="1399">
        <v>383</v>
      </c>
      <c r="E57" s="1400" t="s">
        <v>1629</v>
      </c>
      <c r="F57" s="1400" t="s">
        <v>429</v>
      </c>
      <c r="G57" s="1401">
        <v>40983</v>
      </c>
      <c r="H57" s="470"/>
      <c r="I57" s="1400" t="s">
        <v>963</v>
      </c>
      <c r="J57" s="1400" t="s">
        <v>114</v>
      </c>
      <c r="K57" s="1399">
        <v>1780</v>
      </c>
      <c r="L57" s="1400" t="s">
        <v>1630</v>
      </c>
      <c r="M57" s="1400" t="s">
        <v>1548</v>
      </c>
    </row>
    <row r="58" spans="4:13" ht="30" hidden="1">
      <c r="D58" s="1399">
        <v>385</v>
      </c>
      <c r="E58" s="1400" t="s">
        <v>1631</v>
      </c>
      <c r="F58" s="1400" t="s">
        <v>136</v>
      </c>
      <c r="G58" s="1401">
        <v>41148</v>
      </c>
      <c r="H58" s="470"/>
      <c r="I58" s="1400" t="s">
        <v>963</v>
      </c>
      <c r="J58" s="1400" t="s">
        <v>114</v>
      </c>
      <c r="K58" s="1399">
        <v>1782</v>
      </c>
      <c r="L58" s="1400" t="s">
        <v>1632</v>
      </c>
      <c r="M58" s="1400" t="s">
        <v>1548</v>
      </c>
    </row>
    <row r="59" spans="4:13" ht="30" hidden="1">
      <c r="D59" s="1399">
        <v>386</v>
      </c>
      <c r="E59" s="1400" t="s">
        <v>1633</v>
      </c>
      <c r="F59" s="1400" t="s">
        <v>1634</v>
      </c>
      <c r="G59" s="1401">
        <v>41039</v>
      </c>
      <c r="H59" s="470"/>
      <c r="I59" s="1400" t="s">
        <v>963</v>
      </c>
      <c r="J59" s="1400" t="s">
        <v>114</v>
      </c>
      <c r="K59" s="1399">
        <v>1783</v>
      </c>
      <c r="L59" s="1400" t="s">
        <v>1635</v>
      </c>
      <c r="M59" s="1400" t="s">
        <v>1548</v>
      </c>
    </row>
    <row r="60" spans="4:13" ht="45" hidden="1">
      <c r="D60" s="1399">
        <v>390</v>
      </c>
      <c r="E60" s="1400" t="s">
        <v>1636</v>
      </c>
      <c r="F60" s="1400" t="s">
        <v>250</v>
      </c>
      <c r="G60" s="1401">
        <v>41094</v>
      </c>
      <c r="H60" s="470"/>
      <c r="I60" s="1400" t="s">
        <v>963</v>
      </c>
      <c r="J60" s="1400" t="s">
        <v>114</v>
      </c>
      <c r="K60" s="1399">
        <v>1787</v>
      </c>
      <c r="L60" s="1400" t="s">
        <v>1637</v>
      </c>
      <c r="M60" s="1400" t="s">
        <v>1548</v>
      </c>
    </row>
    <row r="61" spans="4:13" ht="30" hidden="1">
      <c r="D61" s="1399">
        <v>391</v>
      </c>
      <c r="E61" s="1400" t="s">
        <v>1638</v>
      </c>
      <c r="F61" s="1400" t="s">
        <v>228</v>
      </c>
      <c r="G61" s="1401">
        <v>41205</v>
      </c>
      <c r="H61" s="470"/>
      <c r="I61" s="1400" t="s">
        <v>963</v>
      </c>
      <c r="J61" s="1400" t="s">
        <v>114</v>
      </c>
      <c r="K61" s="1399">
        <v>1788</v>
      </c>
      <c r="L61" s="1400" t="s">
        <v>1639</v>
      </c>
      <c r="M61" s="1400" t="s">
        <v>1548</v>
      </c>
    </row>
    <row r="62" spans="4:13" ht="30" hidden="1">
      <c r="D62" s="1399">
        <v>396</v>
      </c>
      <c r="E62" s="1400" t="s">
        <v>1640</v>
      </c>
      <c r="F62" s="1400" t="s">
        <v>1641</v>
      </c>
      <c r="G62" s="1401">
        <v>41018</v>
      </c>
      <c r="H62" s="470"/>
      <c r="I62" s="1400" t="s">
        <v>963</v>
      </c>
      <c r="J62" s="1400" t="s">
        <v>114</v>
      </c>
      <c r="K62" s="1399">
        <v>1792</v>
      </c>
      <c r="L62" s="1400" t="s">
        <v>1642</v>
      </c>
      <c r="M62" s="1400" t="s">
        <v>1548</v>
      </c>
    </row>
    <row r="63" spans="4:13" ht="15" hidden="1">
      <c r="D63" s="1399">
        <v>397</v>
      </c>
      <c r="E63" s="1400" t="s">
        <v>1643</v>
      </c>
      <c r="F63" s="1400" t="s">
        <v>167</v>
      </c>
      <c r="G63" s="1401">
        <v>41079</v>
      </c>
      <c r="H63" s="1402">
        <v>39922</v>
      </c>
      <c r="I63" s="1400" t="s">
        <v>963</v>
      </c>
      <c r="J63" s="1400" t="s">
        <v>114</v>
      </c>
      <c r="K63" s="1399">
        <v>1793</v>
      </c>
      <c r="L63" s="1400" t="s">
        <v>1644</v>
      </c>
      <c r="M63" s="1400" t="s">
        <v>1548</v>
      </c>
    </row>
    <row r="64" spans="4:13" ht="30" hidden="1">
      <c r="D64" s="1399">
        <v>398</v>
      </c>
      <c r="E64" s="1400" t="s">
        <v>1645</v>
      </c>
      <c r="F64" s="1400" t="s">
        <v>137</v>
      </c>
      <c r="G64" s="1401">
        <v>41112</v>
      </c>
      <c r="H64" s="1402">
        <v>41089</v>
      </c>
      <c r="I64" s="1400" t="s">
        <v>963</v>
      </c>
      <c r="J64" s="1400" t="s">
        <v>1568</v>
      </c>
      <c r="K64" s="1399">
        <v>1794</v>
      </c>
      <c r="L64" s="1400" t="s">
        <v>1646</v>
      </c>
      <c r="M64" s="1400" t="s">
        <v>1548</v>
      </c>
    </row>
    <row r="65" spans="4:13" ht="30" hidden="1">
      <c r="D65" s="1399">
        <v>399</v>
      </c>
      <c r="E65" s="1400" t="s">
        <v>1647</v>
      </c>
      <c r="F65" s="1400" t="s">
        <v>138</v>
      </c>
      <c r="G65" s="1401">
        <v>41112</v>
      </c>
      <c r="H65" s="1402">
        <v>41089</v>
      </c>
      <c r="I65" s="1400" t="s">
        <v>963</v>
      </c>
      <c r="J65" s="1400" t="s">
        <v>1568</v>
      </c>
      <c r="K65" s="1399">
        <v>1795</v>
      </c>
      <c r="L65" s="1400" t="s">
        <v>1648</v>
      </c>
      <c r="M65" s="1400" t="s">
        <v>1548</v>
      </c>
    </row>
    <row r="66" spans="4:13" ht="30" hidden="1">
      <c r="D66" s="1399">
        <v>400</v>
      </c>
      <c r="E66" s="1400" t="s">
        <v>1649</v>
      </c>
      <c r="F66" s="1400" t="s">
        <v>139</v>
      </c>
      <c r="G66" s="1401">
        <v>41051</v>
      </c>
      <c r="H66" s="1402">
        <v>41018</v>
      </c>
      <c r="I66" s="1400" t="s">
        <v>963</v>
      </c>
      <c r="J66" s="1400" t="s">
        <v>1568</v>
      </c>
      <c r="K66" s="1399">
        <v>1796</v>
      </c>
      <c r="L66" s="1400" t="s">
        <v>1650</v>
      </c>
      <c r="M66" s="1400" t="s">
        <v>1548</v>
      </c>
    </row>
    <row r="67" spans="4:13" ht="30" hidden="1">
      <c r="D67" s="1399">
        <v>401</v>
      </c>
      <c r="E67" s="1400" t="s">
        <v>1651</v>
      </c>
      <c r="F67" s="1400" t="s">
        <v>140</v>
      </c>
      <c r="G67" s="1401">
        <v>41112</v>
      </c>
      <c r="H67" s="1402">
        <v>41089</v>
      </c>
      <c r="I67" s="1400" t="s">
        <v>963</v>
      </c>
      <c r="J67" s="1400" t="s">
        <v>1568</v>
      </c>
      <c r="K67" s="1399">
        <v>1797</v>
      </c>
      <c r="L67" s="1400" t="s">
        <v>1652</v>
      </c>
      <c r="M67" s="1400" t="s">
        <v>1548</v>
      </c>
    </row>
    <row r="68" spans="4:13" ht="30" hidden="1">
      <c r="D68" s="1399">
        <v>404</v>
      </c>
      <c r="E68" s="1400" t="s">
        <v>1653</v>
      </c>
      <c r="F68" s="1400" t="s">
        <v>141</v>
      </c>
      <c r="G68" s="1401">
        <v>41007</v>
      </c>
      <c r="H68" s="470"/>
      <c r="I68" s="1400" t="s">
        <v>963</v>
      </c>
      <c r="J68" s="1400" t="s">
        <v>114</v>
      </c>
      <c r="K68" s="1399">
        <v>1800</v>
      </c>
      <c r="L68" s="1400" t="s">
        <v>1654</v>
      </c>
      <c r="M68" s="1400" t="s">
        <v>1548</v>
      </c>
    </row>
    <row r="69" spans="4:13" ht="30" hidden="1">
      <c r="D69" s="1399">
        <v>405</v>
      </c>
      <c r="E69" s="1400" t="s">
        <v>1655</v>
      </c>
      <c r="F69" s="1400" t="s">
        <v>142</v>
      </c>
      <c r="G69" s="1401">
        <v>41007</v>
      </c>
      <c r="H69" s="470"/>
      <c r="I69" s="1400" t="s">
        <v>963</v>
      </c>
      <c r="J69" s="1400" t="s">
        <v>114</v>
      </c>
      <c r="K69" s="1399">
        <v>1802</v>
      </c>
      <c r="L69" s="1400" t="s">
        <v>1656</v>
      </c>
      <c r="M69" s="1400" t="s">
        <v>1548</v>
      </c>
    </row>
    <row r="70" spans="4:13" ht="30">
      <c r="D70" s="1399">
        <v>598</v>
      </c>
      <c r="E70" s="1400" t="s">
        <v>1657</v>
      </c>
      <c r="F70" s="1400" t="s">
        <v>1658</v>
      </c>
      <c r="G70" s="1401">
        <v>41485</v>
      </c>
      <c r="H70" s="470"/>
      <c r="I70" s="1400" t="s">
        <v>963</v>
      </c>
      <c r="J70" s="1400" t="s">
        <v>1568</v>
      </c>
      <c r="K70" s="1399">
        <v>1855</v>
      </c>
      <c r="L70" s="1400" t="s">
        <v>1659</v>
      </c>
      <c r="M70" s="1400" t="s">
        <v>1174</v>
      </c>
    </row>
    <row r="71" spans="4:13" ht="30">
      <c r="D71" s="1399">
        <v>2351</v>
      </c>
      <c r="E71" s="1400" t="s">
        <v>1660</v>
      </c>
      <c r="F71" s="1400" t="s">
        <v>403</v>
      </c>
      <c r="G71" s="1401">
        <v>41485</v>
      </c>
      <c r="H71" s="470"/>
      <c r="I71" s="1400" t="s">
        <v>963</v>
      </c>
      <c r="J71" s="1400" t="s">
        <v>1568</v>
      </c>
      <c r="K71" s="1399">
        <v>2062</v>
      </c>
      <c r="L71" s="1400" t="s">
        <v>1661</v>
      </c>
      <c r="M71" s="1400" t="s">
        <v>1174</v>
      </c>
    </row>
    <row r="72" spans="4:13" ht="45">
      <c r="D72" s="1399">
        <v>2381</v>
      </c>
      <c r="E72" s="1400" t="s">
        <v>1662</v>
      </c>
      <c r="F72" s="1400" t="s">
        <v>375</v>
      </c>
      <c r="G72" s="1401">
        <v>41485</v>
      </c>
      <c r="H72" s="470"/>
      <c r="I72" s="1400" t="s">
        <v>963</v>
      </c>
      <c r="J72" s="1400" t="s">
        <v>1568</v>
      </c>
      <c r="K72" s="1399">
        <v>2066</v>
      </c>
      <c r="L72" s="1400" t="s">
        <v>1663</v>
      </c>
      <c r="M72" s="1400" t="s">
        <v>1174</v>
      </c>
    </row>
    <row r="73" spans="4:13" ht="30" hidden="1">
      <c r="D73" s="1399">
        <v>2513</v>
      </c>
      <c r="E73" s="1400" t="s">
        <v>1664</v>
      </c>
      <c r="F73" s="1400" t="s">
        <v>1665</v>
      </c>
      <c r="G73" s="1401">
        <v>40909</v>
      </c>
      <c r="H73" s="470"/>
      <c r="I73" s="1400" t="s">
        <v>963</v>
      </c>
      <c r="J73" s="1400" t="s">
        <v>114</v>
      </c>
      <c r="K73" s="1399">
        <v>2076</v>
      </c>
      <c r="L73" s="1400" t="s">
        <v>114</v>
      </c>
      <c r="M73" s="1400" t="s">
        <v>114</v>
      </c>
    </row>
    <row r="74" spans="4:13" ht="45">
      <c r="D74" s="1399">
        <v>2763</v>
      </c>
      <c r="E74" s="1400" t="s">
        <v>1666</v>
      </c>
      <c r="F74" s="1400" t="s">
        <v>144</v>
      </c>
      <c r="G74" s="1401">
        <v>41485</v>
      </c>
      <c r="H74" s="470"/>
      <c r="I74" s="1400" t="s">
        <v>963</v>
      </c>
      <c r="J74" s="1400" t="s">
        <v>1568</v>
      </c>
      <c r="K74" s="1399">
        <v>2111</v>
      </c>
      <c r="L74" s="1400" t="s">
        <v>1667</v>
      </c>
      <c r="M74" s="1400" t="s">
        <v>1174</v>
      </c>
    </row>
    <row r="75" spans="4:13" ht="45">
      <c r="D75" s="1399">
        <v>2783</v>
      </c>
      <c r="E75" s="1400" t="s">
        <v>1668</v>
      </c>
      <c r="F75" s="1400" t="s">
        <v>414</v>
      </c>
      <c r="G75" s="1401">
        <v>41485</v>
      </c>
      <c r="H75" s="470"/>
      <c r="I75" s="1400" t="s">
        <v>963</v>
      </c>
      <c r="J75" s="1400" t="s">
        <v>1568</v>
      </c>
      <c r="K75" s="1399">
        <v>2114</v>
      </c>
      <c r="L75" s="1400" t="s">
        <v>1669</v>
      </c>
      <c r="M75" s="1400" t="s">
        <v>1174</v>
      </c>
    </row>
    <row r="76" spans="4:13" ht="15" hidden="1">
      <c r="D76" s="1399">
        <v>2866</v>
      </c>
      <c r="E76" s="1400" t="s">
        <v>1670</v>
      </c>
      <c r="F76" s="1400" t="s">
        <v>145</v>
      </c>
      <c r="G76" s="1401">
        <v>41084</v>
      </c>
      <c r="H76" s="470"/>
      <c r="I76" s="1400" t="s">
        <v>963</v>
      </c>
      <c r="J76" s="1400" t="s">
        <v>114</v>
      </c>
      <c r="K76" s="1399">
        <v>2126</v>
      </c>
      <c r="L76" s="1400" t="s">
        <v>1671</v>
      </c>
      <c r="M76" s="1400" t="s">
        <v>1548</v>
      </c>
    </row>
    <row r="77" spans="4:13" ht="30" hidden="1">
      <c r="D77" s="1399">
        <v>2904</v>
      </c>
      <c r="E77" s="1400" t="s">
        <v>1672</v>
      </c>
      <c r="F77" s="1400" t="s">
        <v>1673</v>
      </c>
      <c r="G77" s="1401">
        <v>41150</v>
      </c>
      <c r="H77" s="1402">
        <v>41135</v>
      </c>
      <c r="I77" s="1400" t="s">
        <v>963</v>
      </c>
      <c r="J77" s="1400" t="s">
        <v>1568</v>
      </c>
      <c r="K77" s="1399">
        <v>2134</v>
      </c>
      <c r="L77" s="1400" t="s">
        <v>1674</v>
      </c>
      <c r="M77" s="1400" t="s">
        <v>1548</v>
      </c>
    </row>
    <row r="78" spans="4:13" ht="30" hidden="1">
      <c r="D78" s="1399">
        <v>2937</v>
      </c>
      <c r="E78" s="1400" t="s">
        <v>1675</v>
      </c>
      <c r="F78" s="1400" t="s">
        <v>146</v>
      </c>
      <c r="G78" s="1401">
        <v>41205</v>
      </c>
      <c r="H78" s="470"/>
      <c r="I78" s="1400" t="s">
        <v>963</v>
      </c>
      <c r="J78" s="1400" t="s">
        <v>114</v>
      </c>
      <c r="K78" s="1399">
        <v>2141</v>
      </c>
      <c r="L78" s="1400" t="s">
        <v>1676</v>
      </c>
      <c r="M78" s="1400" t="s">
        <v>1548</v>
      </c>
    </row>
    <row r="79" spans="4:13" ht="30">
      <c r="D79" s="1399">
        <v>3223</v>
      </c>
      <c r="E79" s="1400" t="s">
        <v>1677</v>
      </c>
      <c r="F79" s="1400" t="s">
        <v>387</v>
      </c>
      <c r="G79" s="1401">
        <v>41423</v>
      </c>
      <c r="H79" s="470"/>
      <c r="I79" s="1400" t="s">
        <v>963</v>
      </c>
      <c r="J79" s="1400" t="s">
        <v>1568</v>
      </c>
      <c r="K79" s="1399">
        <v>2193</v>
      </c>
      <c r="L79" s="1400" t="s">
        <v>1678</v>
      </c>
      <c r="M79" s="1400" t="s">
        <v>1174</v>
      </c>
    </row>
    <row r="80" spans="4:13" ht="45">
      <c r="D80" s="1399">
        <v>3627</v>
      </c>
      <c r="E80" s="1400" t="s">
        <v>1679</v>
      </c>
      <c r="F80" s="1400" t="s">
        <v>398</v>
      </c>
      <c r="G80" s="1401">
        <v>41485</v>
      </c>
      <c r="H80" s="470"/>
      <c r="I80" s="1400" t="s">
        <v>963</v>
      </c>
      <c r="J80" s="1400" t="s">
        <v>1568</v>
      </c>
      <c r="K80" s="1399">
        <v>2215</v>
      </c>
      <c r="L80" s="1400" t="s">
        <v>1680</v>
      </c>
      <c r="M80" s="1400" t="s">
        <v>1174</v>
      </c>
    </row>
    <row r="81" spans="4:13" ht="45">
      <c r="D81" s="1399">
        <v>4248</v>
      </c>
      <c r="E81" s="1400" t="s">
        <v>1681</v>
      </c>
      <c r="F81" s="1400" t="s">
        <v>1682</v>
      </c>
      <c r="G81" s="1401">
        <v>41485</v>
      </c>
      <c r="H81" s="470"/>
      <c r="I81" s="1400" t="s">
        <v>963</v>
      </c>
      <c r="J81" s="1400" t="s">
        <v>1568</v>
      </c>
      <c r="K81" s="1399">
        <v>2245</v>
      </c>
      <c r="L81" s="1400" t="s">
        <v>1683</v>
      </c>
      <c r="M81" s="1400" t="s">
        <v>1174</v>
      </c>
    </row>
    <row r="82" spans="4:13" ht="105" hidden="1">
      <c r="D82" s="1399">
        <v>4950</v>
      </c>
      <c r="E82" s="1400" t="s">
        <v>1684</v>
      </c>
      <c r="F82" s="1400" t="s">
        <v>147</v>
      </c>
      <c r="G82" s="1401">
        <v>41057</v>
      </c>
      <c r="H82" s="1402">
        <v>41007</v>
      </c>
      <c r="I82" s="1400" t="s">
        <v>963</v>
      </c>
      <c r="J82" s="1400" t="s">
        <v>114</v>
      </c>
      <c r="K82" s="1399">
        <v>2285</v>
      </c>
      <c r="L82" s="1400" t="s">
        <v>1685</v>
      </c>
      <c r="M82" s="1400" t="s">
        <v>1548</v>
      </c>
    </row>
    <row r="83" spans="4:13" ht="15" hidden="1">
      <c r="D83" s="1399">
        <v>5160</v>
      </c>
      <c r="E83" s="1400" t="s">
        <v>1686</v>
      </c>
      <c r="F83" s="1400" t="s">
        <v>148</v>
      </c>
      <c r="G83" s="1401">
        <v>41204</v>
      </c>
      <c r="H83" s="1402">
        <v>41147</v>
      </c>
      <c r="I83" s="1400" t="s">
        <v>963</v>
      </c>
      <c r="J83" s="1400" t="s">
        <v>114</v>
      </c>
      <c r="K83" s="1399">
        <v>2313</v>
      </c>
      <c r="L83" s="1400" t="s">
        <v>1687</v>
      </c>
      <c r="M83" s="1400" t="s">
        <v>1548</v>
      </c>
    </row>
    <row r="84" spans="4:13" ht="30" hidden="1">
      <c r="D84" s="1399">
        <v>5216</v>
      </c>
      <c r="E84" s="1400" t="s">
        <v>1688</v>
      </c>
      <c r="F84" s="1400" t="s">
        <v>1689</v>
      </c>
      <c r="G84" s="1401">
        <v>41039</v>
      </c>
      <c r="H84" s="470"/>
      <c r="I84" s="1400" t="s">
        <v>963</v>
      </c>
      <c r="J84" s="1400" t="s">
        <v>114</v>
      </c>
      <c r="K84" s="1399">
        <v>2330</v>
      </c>
      <c r="L84" s="1400" t="s">
        <v>1690</v>
      </c>
      <c r="M84" s="1400" t="s">
        <v>1548</v>
      </c>
    </row>
    <row r="85" spans="4:13" ht="30" hidden="1">
      <c r="D85" s="1399">
        <v>5217</v>
      </c>
      <c r="E85" s="1400" t="s">
        <v>1691</v>
      </c>
      <c r="F85" s="1400" t="s">
        <v>1692</v>
      </c>
      <c r="G85" s="1401">
        <v>41039</v>
      </c>
      <c r="H85" s="470"/>
      <c r="I85" s="1400" t="s">
        <v>963</v>
      </c>
      <c r="J85" s="1400" t="s">
        <v>114</v>
      </c>
      <c r="K85" s="1399">
        <v>2331</v>
      </c>
      <c r="L85" s="1400" t="s">
        <v>1693</v>
      </c>
      <c r="M85" s="1400" t="s">
        <v>1548</v>
      </c>
    </row>
    <row r="86" spans="4:13" ht="45">
      <c r="D86" s="1399">
        <v>5274</v>
      </c>
      <c r="E86" s="1400" t="s">
        <v>1694</v>
      </c>
      <c r="F86" s="1400" t="s">
        <v>149</v>
      </c>
      <c r="G86" s="1401">
        <v>41393</v>
      </c>
      <c r="H86" s="470"/>
      <c r="I86" s="1400" t="s">
        <v>963</v>
      </c>
      <c r="J86" s="1400" t="s">
        <v>1568</v>
      </c>
      <c r="K86" s="1399">
        <v>2339</v>
      </c>
      <c r="L86" s="1400" t="s">
        <v>1695</v>
      </c>
      <c r="M86" s="1400" t="s">
        <v>1174</v>
      </c>
    </row>
    <row r="87" spans="4:13" ht="45">
      <c r="D87" s="1399">
        <v>5351</v>
      </c>
      <c r="E87" s="1400" t="s">
        <v>1696</v>
      </c>
      <c r="F87" s="1400" t="s">
        <v>150</v>
      </c>
      <c r="G87" s="1401">
        <v>41212</v>
      </c>
      <c r="H87" s="470"/>
      <c r="I87" s="1400" t="s">
        <v>963</v>
      </c>
      <c r="J87" s="1400" t="s">
        <v>1568</v>
      </c>
      <c r="K87" s="1399">
        <v>2340</v>
      </c>
      <c r="L87" s="1400" t="s">
        <v>1697</v>
      </c>
      <c r="M87" s="1400" t="s">
        <v>1174</v>
      </c>
    </row>
    <row r="88" spans="4:13" ht="60">
      <c r="D88" s="1399">
        <v>5352</v>
      </c>
      <c r="E88" s="1400" t="s">
        <v>1698</v>
      </c>
      <c r="F88" s="1400" t="s">
        <v>310</v>
      </c>
      <c r="G88" s="1401">
        <v>41182</v>
      </c>
      <c r="H88" s="470"/>
      <c r="I88" s="1400" t="s">
        <v>963</v>
      </c>
      <c r="J88" s="1400" t="s">
        <v>1568</v>
      </c>
      <c r="K88" s="1399">
        <v>2341</v>
      </c>
      <c r="L88" s="1400" t="s">
        <v>1699</v>
      </c>
      <c r="M88" s="1400" t="s">
        <v>1174</v>
      </c>
    </row>
    <row r="89" spans="4:13" ht="45">
      <c r="D89" s="1399">
        <v>5353</v>
      </c>
      <c r="E89" s="1400" t="s">
        <v>1700</v>
      </c>
      <c r="F89" s="1400" t="s">
        <v>151</v>
      </c>
      <c r="G89" s="1401">
        <v>41182</v>
      </c>
      <c r="H89" s="470"/>
      <c r="I89" s="1400" t="s">
        <v>963</v>
      </c>
      <c r="J89" s="1400" t="s">
        <v>1568</v>
      </c>
      <c r="K89" s="1399">
        <v>2342</v>
      </c>
      <c r="L89" s="1400" t="s">
        <v>1701</v>
      </c>
      <c r="M89" s="1400" t="s">
        <v>1174</v>
      </c>
    </row>
    <row r="90" spans="4:13" ht="30">
      <c r="D90" s="1399">
        <v>5355</v>
      </c>
      <c r="E90" s="1400" t="s">
        <v>1702</v>
      </c>
      <c r="F90" s="1400" t="s">
        <v>321</v>
      </c>
      <c r="G90" s="1401">
        <v>41182</v>
      </c>
      <c r="H90" s="470"/>
      <c r="I90" s="1400" t="s">
        <v>963</v>
      </c>
      <c r="J90" s="1400" t="s">
        <v>1568</v>
      </c>
      <c r="K90" s="1399">
        <v>2343</v>
      </c>
      <c r="L90" s="1400" t="s">
        <v>1703</v>
      </c>
      <c r="M90" s="1400" t="s">
        <v>1174</v>
      </c>
    </row>
    <row r="91" spans="4:13" ht="30">
      <c r="D91" s="1399">
        <v>5363</v>
      </c>
      <c r="E91" s="1400" t="s">
        <v>1704</v>
      </c>
      <c r="F91" s="1400" t="s">
        <v>328</v>
      </c>
      <c r="G91" s="1401">
        <v>41182</v>
      </c>
      <c r="H91" s="470"/>
      <c r="I91" s="1400" t="s">
        <v>963</v>
      </c>
      <c r="J91" s="1400" t="s">
        <v>1568</v>
      </c>
      <c r="K91" s="1399">
        <v>2344</v>
      </c>
      <c r="L91" s="1400" t="s">
        <v>1705</v>
      </c>
      <c r="M91" s="1400" t="s">
        <v>1174</v>
      </c>
    </row>
    <row r="92" spans="4:13" ht="30">
      <c r="D92" s="1399">
        <v>5364</v>
      </c>
      <c r="E92" s="1400" t="s">
        <v>1706</v>
      </c>
      <c r="F92" s="1400" t="s">
        <v>333</v>
      </c>
      <c r="G92" s="1401">
        <v>41182</v>
      </c>
      <c r="H92" s="470"/>
      <c r="I92" s="1400" t="s">
        <v>963</v>
      </c>
      <c r="J92" s="1400" t="s">
        <v>1568</v>
      </c>
      <c r="K92" s="1399">
        <v>2345</v>
      </c>
      <c r="L92" s="1400" t="s">
        <v>1707</v>
      </c>
      <c r="M92" s="1400" t="s">
        <v>1174</v>
      </c>
    </row>
    <row r="93" spans="4:13" ht="30">
      <c r="D93" s="1399">
        <v>5365</v>
      </c>
      <c r="E93" s="1400" t="s">
        <v>1708</v>
      </c>
      <c r="F93" s="1400" t="s">
        <v>339</v>
      </c>
      <c r="G93" s="1401">
        <v>41182</v>
      </c>
      <c r="H93" s="470"/>
      <c r="I93" s="1400" t="s">
        <v>963</v>
      </c>
      <c r="J93" s="1400" t="s">
        <v>1568</v>
      </c>
      <c r="K93" s="1399">
        <v>2346</v>
      </c>
      <c r="L93" s="1400" t="s">
        <v>1709</v>
      </c>
      <c r="M93" s="1400" t="s">
        <v>1174</v>
      </c>
    </row>
    <row r="94" spans="4:13" ht="45">
      <c r="D94" s="1399">
        <v>5366</v>
      </c>
      <c r="E94" s="1400" t="s">
        <v>1710</v>
      </c>
      <c r="F94" s="1400" t="s">
        <v>153</v>
      </c>
      <c r="G94" s="1401">
        <v>41182</v>
      </c>
      <c r="H94" s="470"/>
      <c r="I94" s="1400" t="s">
        <v>963</v>
      </c>
      <c r="J94" s="1400" t="s">
        <v>1568</v>
      </c>
      <c r="K94" s="1399">
        <v>2347</v>
      </c>
      <c r="L94" s="1400" t="s">
        <v>1711</v>
      </c>
      <c r="M94" s="1400" t="s">
        <v>1174</v>
      </c>
    </row>
    <row r="95" spans="4:13" ht="30">
      <c r="D95" s="1399">
        <v>5367</v>
      </c>
      <c r="E95" s="1400" t="s">
        <v>1712</v>
      </c>
      <c r="F95" s="1400" t="s">
        <v>9</v>
      </c>
      <c r="G95" s="1401">
        <v>40899</v>
      </c>
      <c r="H95" s="470"/>
      <c r="I95" s="1400" t="s">
        <v>963</v>
      </c>
      <c r="J95" s="1400" t="s">
        <v>1568</v>
      </c>
      <c r="K95" s="1399">
        <v>2348</v>
      </c>
      <c r="L95" s="1400" t="s">
        <v>1713</v>
      </c>
      <c r="M95" s="1400" t="s">
        <v>1174</v>
      </c>
    </row>
    <row r="96" spans="4:13" ht="30">
      <c r="D96" s="1399">
        <v>5368</v>
      </c>
      <c r="E96" s="1400" t="s">
        <v>1714</v>
      </c>
      <c r="F96" s="1400" t="s">
        <v>344</v>
      </c>
      <c r="G96" s="1401">
        <v>41182</v>
      </c>
      <c r="H96" s="470"/>
      <c r="I96" s="1400" t="s">
        <v>963</v>
      </c>
      <c r="J96" s="1400" t="s">
        <v>1568</v>
      </c>
      <c r="K96" s="1399">
        <v>2349</v>
      </c>
      <c r="L96" s="1400" t="s">
        <v>1715</v>
      </c>
      <c r="M96" s="1400" t="s">
        <v>1174</v>
      </c>
    </row>
    <row r="97" spans="4:13" ht="30">
      <c r="D97" s="1399">
        <v>5369</v>
      </c>
      <c r="E97" s="1400" t="s">
        <v>1716</v>
      </c>
      <c r="F97" s="1400" t="s">
        <v>349</v>
      </c>
      <c r="G97" s="1401">
        <v>41182</v>
      </c>
      <c r="H97" s="470"/>
      <c r="I97" s="1400" t="s">
        <v>963</v>
      </c>
      <c r="J97" s="1400" t="s">
        <v>1568</v>
      </c>
      <c r="K97" s="1399">
        <v>2350</v>
      </c>
      <c r="L97" s="1400" t="s">
        <v>1717</v>
      </c>
      <c r="M97" s="1400" t="s">
        <v>1174</v>
      </c>
    </row>
    <row r="98" spans="4:13" ht="30">
      <c r="D98" s="1399">
        <v>5370</v>
      </c>
      <c r="E98" s="1400" t="s">
        <v>1718</v>
      </c>
      <c r="F98" s="1400" t="s">
        <v>154</v>
      </c>
      <c r="G98" s="1401">
        <v>41182</v>
      </c>
      <c r="H98" s="470"/>
      <c r="I98" s="1400" t="s">
        <v>963</v>
      </c>
      <c r="J98" s="1400" t="s">
        <v>1568</v>
      </c>
      <c r="K98" s="1399">
        <v>2351</v>
      </c>
      <c r="L98" s="1400" t="s">
        <v>1719</v>
      </c>
      <c r="M98" s="1400" t="s">
        <v>1174</v>
      </c>
    </row>
    <row r="99" spans="4:13" ht="30">
      <c r="D99" s="1399">
        <v>5371</v>
      </c>
      <c r="E99" s="1400" t="s">
        <v>1720</v>
      </c>
      <c r="F99" s="1400" t="s">
        <v>358</v>
      </c>
      <c r="G99" s="1401">
        <v>41182</v>
      </c>
      <c r="H99" s="470"/>
      <c r="I99" s="1400" t="s">
        <v>963</v>
      </c>
      <c r="J99" s="1400" t="s">
        <v>1568</v>
      </c>
      <c r="K99" s="1399">
        <v>2352</v>
      </c>
      <c r="L99" s="1400" t="s">
        <v>1721</v>
      </c>
      <c r="M99" s="1400" t="s">
        <v>1174</v>
      </c>
    </row>
    <row r="100" spans="4:13" ht="30">
      <c r="D100" s="1399">
        <v>5373</v>
      </c>
      <c r="E100" s="1400" t="s">
        <v>1722</v>
      </c>
      <c r="F100" s="1400" t="s">
        <v>365</v>
      </c>
      <c r="G100" s="1401">
        <v>41182</v>
      </c>
      <c r="H100" s="470"/>
      <c r="I100" s="1400" t="s">
        <v>963</v>
      </c>
      <c r="J100" s="1400" t="s">
        <v>1568</v>
      </c>
      <c r="K100" s="1399">
        <v>2353</v>
      </c>
      <c r="L100" s="1400" t="s">
        <v>1723</v>
      </c>
      <c r="M100" s="1400" t="s">
        <v>1174</v>
      </c>
    </row>
    <row r="101" spans="4:13" ht="45">
      <c r="D101" s="1399">
        <v>5377</v>
      </c>
      <c r="E101" s="1400" t="s">
        <v>1724</v>
      </c>
      <c r="F101" s="1400" t="s">
        <v>309</v>
      </c>
      <c r="G101" s="1401">
        <v>41393</v>
      </c>
      <c r="H101" s="470"/>
      <c r="I101" s="1400" t="s">
        <v>963</v>
      </c>
      <c r="J101" s="1400" t="s">
        <v>1568</v>
      </c>
      <c r="K101" s="1399">
        <v>2355</v>
      </c>
      <c r="L101" s="1400" t="s">
        <v>1725</v>
      </c>
      <c r="M101" s="1400" t="s">
        <v>1174</v>
      </c>
    </row>
    <row r="102" spans="4:13" ht="45">
      <c r="D102" s="1399">
        <v>5378</v>
      </c>
      <c r="E102" s="1400" t="s">
        <v>1726</v>
      </c>
      <c r="F102" s="1400" t="s">
        <v>241</v>
      </c>
      <c r="G102" s="1401">
        <v>41393</v>
      </c>
      <c r="H102" s="470"/>
      <c r="I102" s="1400" t="s">
        <v>963</v>
      </c>
      <c r="J102" s="1400" t="s">
        <v>1568</v>
      </c>
      <c r="K102" s="1399">
        <v>2356</v>
      </c>
      <c r="L102" s="1400" t="s">
        <v>1727</v>
      </c>
      <c r="M102" s="1400" t="s">
        <v>1174</v>
      </c>
    </row>
    <row r="103" spans="4:13" ht="45">
      <c r="D103" s="1399">
        <v>5379</v>
      </c>
      <c r="E103" s="1400" t="s">
        <v>1728</v>
      </c>
      <c r="F103" s="1400" t="s">
        <v>277</v>
      </c>
      <c r="G103" s="1401">
        <v>41212</v>
      </c>
      <c r="H103" s="470"/>
      <c r="I103" s="1400" t="s">
        <v>963</v>
      </c>
      <c r="J103" s="1400" t="s">
        <v>1568</v>
      </c>
      <c r="K103" s="1399">
        <v>2357</v>
      </c>
      <c r="L103" s="1400" t="s">
        <v>1729</v>
      </c>
      <c r="M103" s="1400" t="s">
        <v>1174</v>
      </c>
    </row>
    <row r="104" spans="4:13" ht="45">
      <c r="D104" s="1399">
        <v>5381</v>
      </c>
      <c r="E104" s="1400" t="s">
        <v>1730</v>
      </c>
      <c r="F104" s="1400" t="s">
        <v>220</v>
      </c>
      <c r="G104" s="1401">
        <v>41152</v>
      </c>
      <c r="H104" s="470"/>
      <c r="I104" s="1400" t="s">
        <v>963</v>
      </c>
      <c r="J104" s="1400" t="s">
        <v>1568</v>
      </c>
      <c r="K104" s="1399">
        <v>2358</v>
      </c>
      <c r="L104" s="1400" t="s">
        <v>1731</v>
      </c>
      <c r="M104" s="1400" t="s">
        <v>1174</v>
      </c>
    </row>
    <row r="105" spans="4:13" ht="45">
      <c r="D105" s="1399">
        <v>5382</v>
      </c>
      <c r="E105" s="1400" t="s">
        <v>1732</v>
      </c>
      <c r="F105" s="1400" t="s">
        <v>246</v>
      </c>
      <c r="G105" s="1401">
        <v>41101</v>
      </c>
      <c r="H105" s="470"/>
      <c r="I105" s="1400" t="s">
        <v>963</v>
      </c>
      <c r="J105" s="1400" t="s">
        <v>1568</v>
      </c>
      <c r="K105" s="1399">
        <v>2359</v>
      </c>
      <c r="L105" s="1400" t="s">
        <v>1733</v>
      </c>
      <c r="M105" s="1400" t="s">
        <v>1174</v>
      </c>
    </row>
    <row r="106" spans="4:13" ht="45">
      <c r="D106" s="1399">
        <v>5384</v>
      </c>
      <c r="E106" s="1400" t="s">
        <v>1734</v>
      </c>
      <c r="F106" s="1400" t="s">
        <v>266</v>
      </c>
      <c r="G106" s="1401">
        <v>41423</v>
      </c>
      <c r="H106" s="470"/>
      <c r="I106" s="1400" t="s">
        <v>963</v>
      </c>
      <c r="J106" s="1400" t="s">
        <v>1568</v>
      </c>
      <c r="K106" s="1399">
        <v>2360</v>
      </c>
      <c r="L106" s="1400" t="s">
        <v>1735</v>
      </c>
      <c r="M106" s="1400" t="s">
        <v>1174</v>
      </c>
    </row>
    <row r="107" spans="4:13" ht="45">
      <c r="D107" s="1399">
        <v>5385</v>
      </c>
      <c r="E107" s="1400" t="s">
        <v>1736</v>
      </c>
      <c r="F107" s="1400" t="s">
        <v>271</v>
      </c>
      <c r="G107" s="1401">
        <v>41379</v>
      </c>
      <c r="H107" s="470"/>
      <c r="I107" s="1400" t="s">
        <v>963</v>
      </c>
      <c r="J107" s="1400" t="s">
        <v>1568</v>
      </c>
      <c r="K107" s="1399">
        <v>2361</v>
      </c>
      <c r="L107" s="1400" t="s">
        <v>1737</v>
      </c>
      <c r="M107" s="1400" t="s">
        <v>1174</v>
      </c>
    </row>
    <row r="108" spans="4:13" ht="45">
      <c r="D108" s="1399">
        <v>5386</v>
      </c>
      <c r="E108" s="1400" t="s">
        <v>1738</v>
      </c>
      <c r="F108" s="1400" t="s">
        <v>236</v>
      </c>
      <c r="G108" s="1401">
        <v>41212</v>
      </c>
      <c r="H108" s="470"/>
      <c r="I108" s="1400" t="s">
        <v>963</v>
      </c>
      <c r="J108" s="1400" t="s">
        <v>1568</v>
      </c>
      <c r="K108" s="1399">
        <v>2362</v>
      </c>
      <c r="L108" s="1400" t="s">
        <v>1739</v>
      </c>
      <c r="M108" s="1400" t="s">
        <v>1174</v>
      </c>
    </row>
    <row r="109" spans="4:13" ht="15" hidden="1">
      <c r="D109" s="1399">
        <v>5697</v>
      </c>
      <c r="E109" s="1400" t="s">
        <v>1740</v>
      </c>
      <c r="F109" s="1400" t="s">
        <v>156</v>
      </c>
      <c r="G109" s="1401">
        <v>41143</v>
      </c>
      <c r="H109" s="1402">
        <v>41128</v>
      </c>
      <c r="I109" s="1400" t="s">
        <v>963</v>
      </c>
      <c r="J109" s="1400" t="s">
        <v>114</v>
      </c>
      <c r="K109" s="1399">
        <v>2382</v>
      </c>
      <c r="L109" s="1400" t="s">
        <v>1741</v>
      </c>
      <c r="M109" s="1400" t="s">
        <v>1548</v>
      </c>
    </row>
    <row r="110" spans="4:13" ht="30" hidden="1">
      <c r="D110" s="1399">
        <v>5707</v>
      </c>
      <c r="E110" s="1400" t="s">
        <v>1742</v>
      </c>
      <c r="F110" s="1400" t="s">
        <v>157</v>
      </c>
      <c r="G110" s="1401">
        <v>41235</v>
      </c>
      <c r="H110" s="1402">
        <v>41207</v>
      </c>
      <c r="I110" s="1400" t="s">
        <v>963</v>
      </c>
      <c r="J110" s="1400" t="s">
        <v>114</v>
      </c>
      <c r="K110" s="1399">
        <v>2386</v>
      </c>
      <c r="L110" s="1400" t="s">
        <v>1743</v>
      </c>
      <c r="M110" s="1400" t="s">
        <v>1548</v>
      </c>
    </row>
    <row r="111" spans="4:13" ht="15" hidden="1">
      <c r="D111" s="1399">
        <v>6072</v>
      </c>
      <c r="E111" s="1400" t="s">
        <v>1744</v>
      </c>
      <c r="F111" s="1400" t="s">
        <v>1745</v>
      </c>
      <c r="G111" s="1401">
        <v>41204</v>
      </c>
      <c r="H111" s="1402">
        <v>41164</v>
      </c>
      <c r="I111" s="1400" t="s">
        <v>963</v>
      </c>
      <c r="J111" s="1400" t="s">
        <v>114</v>
      </c>
      <c r="K111" s="1399">
        <v>2407</v>
      </c>
      <c r="L111" s="1400" t="s">
        <v>1746</v>
      </c>
      <c r="M111" s="1400" t="s">
        <v>1548</v>
      </c>
    </row>
    <row r="112" spans="4:13" ht="30" hidden="1">
      <c r="D112" s="1399">
        <v>6585</v>
      </c>
      <c r="E112" s="1400" t="s">
        <v>1747</v>
      </c>
      <c r="F112" s="1400" t="s">
        <v>158</v>
      </c>
      <c r="G112" s="1401">
        <v>41082</v>
      </c>
      <c r="H112" s="1402">
        <v>41078</v>
      </c>
      <c r="I112" s="1400" t="s">
        <v>963</v>
      </c>
      <c r="J112" s="1400" t="s">
        <v>114</v>
      </c>
      <c r="K112" s="1399">
        <v>2444</v>
      </c>
      <c r="L112" s="1400" t="s">
        <v>1748</v>
      </c>
      <c r="M112" s="1400" t="s">
        <v>1548</v>
      </c>
    </row>
    <row r="113" spans="4:13" ht="30" hidden="1">
      <c r="D113" s="1399">
        <v>6587</v>
      </c>
      <c r="E113" s="1400" t="s">
        <v>1749</v>
      </c>
      <c r="F113" s="1400" t="s">
        <v>159</v>
      </c>
      <c r="G113" s="1401">
        <v>41021</v>
      </c>
      <c r="H113" s="470"/>
      <c r="I113" s="1400" t="s">
        <v>963</v>
      </c>
      <c r="J113" s="1400" t="s">
        <v>114</v>
      </c>
      <c r="K113" s="1399">
        <v>2445</v>
      </c>
      <c r="L113" s="1400" t="s">
        <v>1750</v>
      </c>
      <c r="M113" s="1400" t="s">
        <v>1548</v>
      </c>
    </row>
    <row r="114" spans="4:13" ht="30" hidden="1">
      <c r="D114" s="1399">
        <v>6600</v>
      </c>
      <c r="E114" s="1400" t="s">
        <v>1751</v>
      </c>
      <c r="F114" s="1400" t="s">
        <v>160</v>
      </c>
      <c r="G114" s="1401">
        <v>41149</v>
      </c>
      <c r="H114" s="470"/>
      <c r="I114" s="1400" t="s">
        <v>963</v>
      </c>
      <c r="J114" s="1400" t="s">
        <v>114</v>
      </c>
      <c r="K114" s="1399">
        <v>2452</v>
      </c>
      <c r="L114" s="1400" t="s">
        <v>1752</v>
      </c>
      <c r="M114" s="1400" t="s">
        <v>1548</v>
      </c>
    </row>
    <row r="115" spans="4:13" ht="60">
      <c r="D115" s="1399">
        <v>6609</v>
      </c>
      <c r="E115" s="1400" t="s">
        <v>1753</v>
      </c>
      <c r="F115" s="1400" t="s">
        <v>259</v>
      </c>
      <c r="G115" s="1401">
        <v>41411</v>
      </c>
      <c r="H115" s="470"/>
      <c r="I115" s="1400" t="s">
        <v>963</v>
      </c>
      <c r="J115" s="1400" t="s">
        <v>1568</v>
      </c>
      <c r="K115" s="1399">
        <v>2455</v>
      </c>
      <c r="L115" s="1400" t="s">
        <v>1754</v>
      </c>
      <c r="M115" s="1400" t="s">
        <v>1174</v>
      </c>
    </row>
    <row r="116" spans="4:13" ht="45">
      <c r="D116" s="1399">
        <v>6610</v>
      </c>
      <c r="E116" s="1400" t="s">
        <v>1755</v>
      </c>
      <c r="F116" s="1400" t="s">
        <v>253</v>
      </c>
      <c r="G116" s="1401">
        <v>41243</v>
      </c>
      <c r="H116" s="470"/>
      <c r="I116" s="1400" t="s">
        <v>963</v>
      </c>
      <c r="J116" s="1400" t="s">
        <v>1568</v>
      </c>
      <c r="K116" s="1399">
        <v>2456</v>
      </c>
      <c r="L116" s="1400" t="s">
        <v>1756</v>
      </c>
      <c r="M116" s="1400" t="s">
        <v>1174</v>
      </c>
    </row>
    <row r="117" spans="4:13" ht="30" hidden="1">
      <c r="D117" s="1399">
        <v>6611</v>
      </c>
      <c r="E117" s="1400" t="s">
        <v>1757</v>
      </c>
      <c r="F117" s="1400" t="s">
        <v>162</v>
      </c>
      <c r="G117" s="1401">
        <v>40943</v>
      </c>
      <c r="H117" s="470"/>
      <c r="I117" s="1400" t="s">
        <v>963</v>
      </c>
      <c r="J117" s="1400" t="s">
        <v>114</v>
      </c>
      <c r="K117" s="1399">
        <v>2457</v>
      </c>
      <c r="L117" s="1400" t="s">
        <v>1758</v>
      </c>
      <c r="M117" s="1400" t="s">
        <v>1548</v>
      </c>
    </row>
    <row r="118" spans="4:13" ht="30" hidden="1">
      <c r="D118" s="1399">
        <v>6612</v>
      </c>
      <c r="E118" s="1400" t="s">
        <v>1759</v>
      </c>
      <c r="F118" s="1400" t="s">
        <v>163</v>
      </c>
      <c r="G118" s="1401">
        <v>41082</v>
      </c>
      <c r="H118" s="1402">
        <v>41078</v>
      </c>
      <c r="I118" s="1400" t="s">
        <v>963</v>
      </c>
      <c r="J118" s="1400" t="s">
        <v>1568</v>
      </c>
      <c r="K118" s="1399">
        <v>2458</v>
      </c>
      <c r="L118" s="1400" t="s">
        <v>1760</v>
      </c>
      <c r="M118" s="1400" t="s">
        <v>1548</v>
      </c>
    </row>
    <row r="119" spans="4:13" ht="30">
      <c r="D119" s="1399">
        <v>6896</v>
      </c>
      <c r="E119" s="1400" t="s">
        <v>1761</v>
      </c>
      <c r="F119" s="1400" t="s">
        <v>252</v>
      </c>
      <c r="G119" s="1401">
        <v>41182</v>
      </c>
      <c r="H119" s="470"/>
      <c r="I119" s="1400" t="s">
        <v>963</v>
      </c>
      <c r="J119" s="1400" t="s">
        <v>1568</v>
      </c>
      <c r="K119" s="1399">
        <v>2479</v>
      </c>
      <c r="L119" s="1400" t="s">
        <v>1762</v>
      </c>
      <c r="M119" s="1400" t="s">
        <v>1174</v>
      </c>
    </row>
    <row r="120" spans="4:13" ht="45">
      <c r="D120" s="1399">
        <v>6897</v>
      </c>
      <c r="E120" s="1400" t="s">
        <v>1763</v>
      </c>
      <c r="F120" s="1400" t="s">
        <v>1764</v>
      </c>
      <c r="G120" s="1401">
        <v>41182</v>
      </c>
      <c r="H120" s="470"/>
      <c r="I120" s="1400" t="s">
        <v>963</v>
      </c>
      <c r="J120" s="1400" t="s">
        <v>1568</v>
      </c>
      <c r="K120" s="1399">
        <v>2480</v>
      </c>
      <c r="L120" s="1400" t="s">
        <v>1765</v>
      </c>
      <c r="M120" s="1400" t="s">
        <v>1174</v>
      </c>
    </row>
    <row r="121" spans="4:13" ht="30">
      <c r="D121" s="1399">
        <v>6898</v>
      </c>
      <c r="E121" s="1400" t="s">
        <v>1766</v>
      </c>
      <c r="F121" s="1400" t="s">
        <v>299</v>
      </c>
      <c r="G121" s="1401">
        <v>41182</v>
      </c>
      <c r="H121" s="470"/>
      <c r="I121" s="1400" t="s">
        <v>963</v>
      </c>
      <c r="J121" s="1400" t="s">
        <v>1568</v>
      </c>
      <c r="K121" s="1399">
        <v>2481</v>
      </c>
      <c r="L121" s="1400" t="s">
        <v>1767</v>
      </c>
      <c r="M121" s="1400" t="s">
        <v>1174</v>
      </c>
    </row>
    <row r="122" spans="4:13" ht="30">
      <c r="D122" s="1399">
        <v>7016</v>
      </c>
      <c r="E122" s="1400" t="s">
        <v>1768</v>
      </c>
      <c r="F122" s="1400" t="s">
        <v>370</v>
      </c>
      <c r="G122" s="1401">
        <v>41182</v>
      </c>
      <c r="H122" s="470"/>
      <c r="I122" s="1400" t="s">
        <v>963</v>
      </c>
      <c r="J122" s="1400" t="s">
        <v>1568</v>
      </c>
      <c r="K122" s="1399">
        <v>2496</v>
      </c>
      <c r="L122" s="1400" t="s">
        <v>1769</v>
      </c>
      <c r="M122" s="1400" t="s">
        <v>1174</v>
      </c>
    </row>
    <row r="123" spans="4:13" ht="30" hidden="1">
      <c r="D123" s="1399">
        <v>7019</v>
      </c>
      <c r="E123" s="1400" t="s">
        <v>1770</v>
      </c>
      <c r="F123" s="1400" t="s">
        <v>164</v>
      </c>
      <c r="G123" s="1401">
        <v>41214</v>
      </c>
      <c r="H123" s="1402">
        <v>41214</v>
      </c>
      <c r="I123" s="1400" t="s">
        <v>963</v>
      </c>
      <c r="J123" s="1400" t="s">
        <v>114</v>
      </c>
      <c r="K123" s="1399">
        <v>2497</v>
      </c>
      <c r="L123" s="1400" t="s">
        <v>1771</v>
      </c>
      <c r="M123" s="1400" t="s">
        <v>1548</v>
      </c>
    </row>
    <row r="124" spans="4:13" ht="30">
      <c r="D124" s="1399">
        <v>7371</v>
      </c>
      <c r="E124" s="1400" t="s">
        <v>1772</v>
      </c>
      <c r="F124" s="1400" t="s">
        <v>165</v>
      </c>
      <c r="G124" s="1401">
        <v>41485</v>
      </c>
      <c r="H124" s="470"/>
      <c r="I124" s="1400" t="s">
        <v>963</v>
      </c>
      <c r="J124" s="1400" t="s">
        <v>1568</v>
      </c>
      <c r="K124" s="1399">
        <v>2527</v>
      </c>
      <c r="L124" s="1400" t="s">
        <v>1773</v>
      </c>
      <c r="M124" s="1400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856</v>
      </c>
      <c r="E4" s="424"/>
      <c r="F4" s="1403" t="s">
        <v>1778</v>
      </c>
      <c r="G4" s="1404" t="e">
        <f>(C10*G7)/G5</f>
        <v>#REF!</v>
      </c>
    </row>
    <row r="5" spans="2:7">
      <c r="B5" s="1405" t="s">
        <v>1779</v>
      </c>
      <c r="C5" s="1406"/>
      <c r="D5" s="1407"/>
      <c r="F5" s="1403" t="s">
        <v>1780</v>
      </c>
      <c r="G5" s="1408" t="e">
        <f>(((1+C7)^G6)*C7)/(((1+C7)^G6)-1)</f>
        <v>#REF!</v>
      </c>
    </row>
    <row r="6" spans="2:7">
      <c r="B6" s="1405" t="s">
        <v>1781</v>
      </c>
      <c r="C6" s="1406"/>
      <c r="D6" s="1407"/>
      <c r="F6" s="1403" t="s">
        <v>1782</v>
      </c>
      <c r="G6" s="1409" t="e">
        <f>G7/(C8*C9)</f>
        <v>#REF!</v>
      </c>
    </row>
    <row r="7" spans="2:7">
      <c r="B7" s="1405" t="s">
        <v>1783</v>
      </c>
      <c r="C7" s="1410">
        <f>'BD-NET'!Q114</f>
        <v>8.1942000000000001E-2</v>
      </c>
      <c r="D7" s="1407"/>
      <c r="F7" s="1403" t="s">
        <v>1784</v>
      </c>
      <c r="G7" s="1411">
        <f>12*(20000*C6+10000*C5)</f>
        <v>0</v>
      </c>
    </row>
    <row r="8" spans="2:7">
      <c r="B8" s="1405" t="s">
        <v>1785</v>
      </c>
      <c r="C8" s="1412" t="e">
        <f>C24</f>
        <v>#REF!</v>
      </c>
      <c r="D8" s="1413" t="s">
        <v>1786</v>
      </c>
    </row>
    <row r="9" spans="2:7">
      <c r="B9" s="1405" t="s">
        <v>1787</v>
      </c>
      <c r="C9" s="1414"/>
      <c r="D9" s="1407"/>
    </row>
    <row r="10" spans="2:7">
      <c r="B10" s="1405" t="s">
        <v>1788</v>
      </c>
      <c r="C10" s="1415" t="e">
        <f>F14</f>
        <v>#REF!</v>
      </c>
      <c r="D10" s="1407"/>
    </row>
    <row r="12" spans="2:7">
      <c r="B12" s="435" t="s">
        <v>1789</v>
      </c>
      <c r="C12" s="435" t="s">
        <v>725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5" t="s">
        <v>1793</v>
      </c>
      <c r="C13" s="1416" t="e">
        <f>C38</f>
        <v>#REF!</v>
      </c>
      <c r="D13" s="1405"/>
      <c r="E13" s="1405"/>
      <c r="F13" s="1417"/>
    </row>
    <row r="14" spans="2:7" ht="13.5" thickBot="1">
      <c r="B14" s="1405" t="s">
        <v>1794</v>
      </c>
      <c r="C14" s="1416" t="e">
        <f>(C32+E55)*($C$38/$C$35)</f>
        <v>#REF!</v>
      </c>
      <c r="D14" s="1418" t="e">
        <f>$C$17*(C14/($C$14+$C$15+$C$16))</f>
        <v>#REF!</v>
      </c>
      <c r="E14" s="1419" t="e">
        <f>C14-D14</f>
        <v>#REF!</v>
      </c>
      <c r="F14" s="458" t="e">
        <f>E14/$C$13</f>
        <v>#REF!</v>
      </c>
      <c r="G14" s="459" t="s">
        <v>1795</v>
      </c>
    </row>
    <row r="15" spans="2:7">
      <c r="B15" s="1405" t="s">
        <v>1796</v>
      </c>
      <c r="C15" s="1416" t="e">
        <f>C27*($C$38/$C$35)</f>
        <v>#REF!</v>
      </c>
      <c r="D15" s="1418" t="e">
        <f>$C$17*(C15/($C$14+$C$15+$C$16))</f>
        <v>#REF!</v>
      </c>
      <c r="E15" s="1418" t="e">
        <f>C15-D15</f>
        <v>#REF!</v>
      </c>
      <c r="F15" s="1420" t="e">
        <f>E15/$C$13</f>
        <v>#REF!</v>
      </c>
    </row>
    <row r="16" spans="2:7">
      <c r="B16" s="1405" t="s">
        <v>1797</v>
      </c>
      <c r="C16" s="1416" t="e">
        <f>(C33+D54)*($C$38/$C$35)</f>
        <v>#REF!</v>
      </c>
      <c r="D16" s="1418" t="e">
        <f>$C$17*(C16/($C$14+$C$15+$C$16))</f>
        <v>#REF!</v>
      </c>
      <c r="E16" s="1418" t="e">
        <f>C16-D16</f>
        <v>#REF!</v>
      </c>
      <c r="F16" s="1421" t="e">
        <f>E16/$C$13</f>
        <v>#REF!</v>
      </c>
    </row>
    <row r="17" spans="2:6">
      <c r="B17" s="1405" t="s">
        <v>1798</v>
      </c>
      <c r="C17" s="1416" t="e">
        <f>C39</f>
        <v>#REF!</v>
      </c>
      <c r="D17" s="1405"/>
      <c r="E17" s="1405"/>
      <c r="F17" s="1422" t="e">
        <f>C17/C13</f>
        <v>#REF!</v>
      </c>
    </row>
    <row r="18" spans="2:6">
      <c r="D18" s="440" t="e">
        <f>SUM(D14:D17)</f>
        <v>#REF!</v>
      </c>
      <c r="F18" s="1423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4" t="s">
        <v>1800</v>
      </c>
      <c r="C21" s="1425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4" t="s">
        <v>1803</v>
      </c>
      <c r="C24" s="1425" t="e">
        <f>#REF!+#REF!</f>
        <v>#REF!</v>
      </c>
    </row>
    <row r="27" spans="2:6">
      <c r="B27" s="1424" t="s">
        <v>1804</v>
      </c>
      <c r="C27" s="1425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4" t="s">
        <v>1808</v>
      </c>
      <c r="C31" s="1425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4" t="s">
        <v>1800</v>
      </c>
      <c r="C35" s="1425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4" t="s">
        <v>1803</v>
      </c>
      <c r="C38" s="1425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6" t="s">
        <v>1813</v>
      </c>
      <c r="C40" s="1427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8" t="s">
        <v>1776</v>
      </c>
      <c r="C3" s="1428" t="s">
        <v>1777</v>
      </c>
      <c r="D3" s="1429" t="s">
        <v>856</v>
      </c>
      <c r="E3" s="1429" t="s">
        <v>1816</v>
      </c>
      <c r="F3" s="1429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30" t="s">
        <v>1820</v>
      </c>
      <c r="C4" s="1431" t="e">
        <f>12*C5*(1-$E$13)*1/$E$16</f>
        <v>#DIV/0!</v>
      </c>
      <c r="D4" s="1407" t="s">
        <v>1821</v>
      </c>
      <c r="E4" s="1407"/>
      <c r="F4" s="1407"/>
      <c r="H4" s="1428" t="s">
        <v>1822</v>
      </c>
      <c r="I4" s="1428" t="s">
        <v>1823</v>
      </c>
      <c r="J4" s="1428" t="s">
        <v>1824</v>
      </c>
      <c r="K4" s="1428" t="s">
        <v>1825</v>
      </c>
      <c r="L4" s="1428" t="s">
        <v>1826</v>
      </c>
      <c r="M4" s="1428" t="s">
        <v>897</v>
      </c>
      <c r="N4" s="1428" t="s">
        <v>533</v>
      </c>
      <c r="O4" s="1428" t="s">
        <v>537</v>
      </c>
      <c r="P4" s="1428" t="s">
        <v>535</v>
      </c>
      <c r="Q4" s="1428" t="s">
        <v>538</v>
      </c>
    </row>
    <row r="5" spans="2:17">
      <c r="B5" s="1430" t="s">
        <v>1781</v>
      </c>
      <c r="C5" s="1432"/>
      <c r="D5" s="1407"/>
      <c r="E5" s="1407"/>
      <c r="F5" s="1407" t="s">
        <v>1827</v>
      </c>
      <c r="H5" s="1430" t="s">
        <v>1820</v>
      </c>
      <c r="I5" s="1431" t="e">
        <f t="shared" ref="I5:Q5" si="0">12*I6*(1-$E$13)*1/$E$16</f>
        <v>#DIV/0!</v>
      </c>
      <c r="J5" s="1431" t="e">
        <f t="shared" si="0"/>
        <v>#DIV/0!</v>
      </c>
      <c r="K5" s="1431" t="e">
        <f t="shared" si="0"/>
        <v>#DIV/0!</v>
      </c>
      <c r="L5" s="1431" t="e">
        <f t="shared" si="0"/>
        <v>#DIV/0!</v>
      </c>
      <c r="M5" s="1431" t="e">
        <f t="shared" si="0"/>
        <v>#DIV/0!</v>
      </c>
      <c r="N5" s="1431" t="e">
        <f t="shared" si="0"/>
        <v>#DIV/0!</v>
      </c>
      <c r="O5" s="1431" t="e">
        <f t="shared" si="0"/>
        <v>#DIV/0!</v>
      </c>
      <c r="P5" s="1431" t="e">
        <f t="shared" si="0"/>
        <v>#DIV/0!</v>
      </c>
      <c r="Q5" s="1431" t="e">
        <f t="shared" si="0"/>
        <v>#DIV/0!</v>
      </c>
    </row>
    <row r="6" spans="2:17">
      <c r="B6" s="1430" t="s">
        <v>1828</v>
      </c>
      <c r="C6" s="1433"/>
      <c r="D6" s="1407" t="s">
        <v>1829</v>
      </c>
      <c r="E6" s="1407"/>
      <c r="F6" s="1434"/>
      <c r="H6" s="1430" t="s">
        <v>1781</v>
      </c>
      <c r="I6" s="1435"/>
      <c r="J6" s="1435"/>
      <c r="K6" s="1435"/>
      <c r="L6" s="1435"/>
      <c r="M6" s="1406"/>
      <c r="N6" s="1436"/>
      <c r="O6" s="1406"/>
      <c r="P6" s="1406"/>
      <c r="Q6" s="1406"/>
    </row>
    <row r="7" spans="2:17">
      <c r="B7" s="1430" t="s">
        <v>1830</v>
      </c>
      <c r="C7" s="1433"/>
      <c r="D7" s="1407" t="s">
        <v>1831</v>
      </c>
      <c r="E7" s="1407"/>
      <c r="F7" s="1434"/>
      <c r="H7" s="1430" t="s">
        <v>1828</v>
      </c>
      <c r="I7" s="1876">
        <f>C6</f>
        <v>0</v>
      </c>
      <c r="J7" s="1877"/>
      <c r="K7" s="1877"/>
      <c r="L7" s="1877"/>
      <c r="M7" s="1877"/>
      <c r="N7" s="1877"/>
      <c r="O7" s="1877"/>
      <c r="P7" s="1877"/>
      <c r="Q7" s="1878"/>
    </row>
    <row r="8" spans="2:17">
      <c r="B8" s="1430" t="s">
        <v>1832</v>
      </c>
      <c r="C8" s="1437"/>
      <c r="D8" s="1407" t="s">
        <v>1833</v>
      </c>
      <c r="E8" s="1407" t="s">
        <v>1834</v>
      </c>
      <c r="F8" s="1438"/>
      <c r="G8" s="429"/>
      <c r="H8" s="1430" t="s">
        <v>1832</v>
      </c>
      <c r="I8" s="1879">
        <f>C8</f>
        <v>0</v>
      </c>
      <c r="J8" s="1880"/>
      <c r="K8" s="1880"/>
      <c r="L8" s="1880"/>
      <c r="M8" s="1880"/>
      <c r="N8" s="1880"/>
      <c r="O8" s="1880"/>
      <c r="P8" s="1880"/>
      <c r="Q8" s="1881"/>
    </row>
    <row r="9" spans="2:17">
      <c r="B9" s="1430" t="s">
        <v>1835</v>
      </c>
      <c r="C9" s="1433"/>
      <c r="D9" s="1407" t="s">
        <v>1836</v>
      </c>
      <c r="E9" s="1407"/>
      <c r="F9" s="1438"/>
      <c r="H9" s="1430" t="s">
        <v>1835</v>
      </c>
      <c r="I9" s="1876">
        <f>C9</f>
        <v>0</v>
      </c>
      <c r="J9" s="1877"/>
      <c r="K9" s="1877"/>
      <c r="L9" s="1877"/>
      <c r="M9" s="1877"/>
      <c r="N9" s="1877"/>
      <c r="O9" s="1877"/>
      <c r="P9" s="1877"/>
      <c r="Q9" s="1878"/>
    </row>
    <row r="10" spans="2:17">
      <c r="B10" s="1430" t="s">
        <v>1837</v>
      </c>
      <c r="C10" s="1437"/>
      <c r="D10" s="1407" t="s">
        <v>1838</v>
      </c>
      <c r="E10" s="1407" t="s">
        <v>1839</v>
      </c>
      <c r="F10" s="1438"/>
      <c r="G10" s="429"/>
      <c r="H10" s="1430" t="s">
        <v>1837</v>
      </c>
      <c r="I10" s="1882">
        <f>C10</f>
        <v>0</v>
      </c>
      <c r="J10" s="1883"/>
      <c r="K10" s="1883"/>
      <c r="L10" s="1883"/>
      <c r="M10" s="1883"/>
      <c r="N10" s="1883"/>
      <c r="O10" s="1883"/>
      <c r="P10" s="1883"/>
      <c r="Q10" s="1884"/>
    </row>
    <row r="12" spans="2:17">
      <c r="D12" s="426" t="s">
        <v>1840</v>
      </c>
    </row>
    <row r="13" spans="2:17">
      <c r="D13" s="1403" t="s">
        <v>1841</v>
      </c>
      <c r="E13" s="1439" t="e">
        <f>C10/C8</f>
        <v>#DIV/0!</v>
      </c>
      <c r="H13" s="428" t="s">
        <v>1842</v>
      </c>
      <c r="M13" s="430">
        <v>4.2321999999999997</v>
      </c>
    </row>
    <row r="14" spans="2:17">
      <c r="D14" s="1403" t="s">
        <v>1843</v>
      </c>
      <c r="E14" s="1440" t="e">
        <f>1/C9</f>
        <v>#DIV/0!</v>
      </c>
      <c r="H14" s="428" t="s">
        <v>1844</v>
      </c>
      <c r="M14" s="423">
        <v>1.01916916988504</v>
      </c>
    </row>
    <row r="15" spans="2:17">
      <c r="D15" s="1403" t="s">
        <v>1845</v>
      </c>
      <c r="E15" s="1441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3" t="s">
        <v>1780</v>
      </c>
      <c r="E16" s="1442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4" t="s">
        <v>1800</v>
      </c>
      <c r="C20" s="1425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4" t="s">
        <v>1803</v>
      </c>
      <c r="C23" s="1425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4" t="s">
        <v>1804</v>
      </c>
      <c r="C25" s="1443"/>
      <c r="E25" s="436" t="s">
        <v>1854</v>
      </c>
      <c r="F25" s="437"/>
    </row>
    <row r="26" spans="2:13">
      <c r="B26" s="432" t="s">
        <v>1805</v>
      </c>
      <c r="C26" s="460"/>
      <c r="E26" s="1444" t="s">
        <v>1855</v>
      </c>
      <c r="F26" s="1445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6" t="s">
        <v>1807</v>
      </c>
      <c r="C28" s="1446"/>
      <c r="E28" s="1444" t="s">
        <v>1857</v>
      </c>
      <c r="F28" s="144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9460.0060000000012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4608.2020000000011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7883</v>
      </c>
    </row>
    <row r="22" spans="2:3">
      <c r="B22" s="63" t="s">
        <v>1066</v>
      </c>
      <c r="C22">
        <f t="shared" ca="1" si="0"/>
        <v>227</v>
      </c>
    </row>
    <row r="23" spans="2:3">
      <c r="B23" s="63" t="s">
        <v>1878</v>
      </c>
      <c r="C23">
        <f t="shared" ca="1" si="0"/>
        <v>7.35304189857615E-2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0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1325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0.27100934245026742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0.10445708587895863</v>
      </c>
    </row>
    <row r="42" spans="2:3">
      <c r="B42" s="63" t="s">
        <v>1897</v>
      </c>
      <c r="C42">
        <f t="shared" ca="1" si="0"/>
        <v>5.5563017771457668E-2</v>
      </c>
    </row>
    <row r="43" spans="2:3">
      <c r="B43" s="63" t="s">
        <v>1898</v>
      </c>
      <c r="C43">
        <f t="shared" ca="1" si="0"/>
        <v>0.15117637497720193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0.10445708587895863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10822.847637142859</v>
      </c>
    </row>
    <row r="50" spans="2:3">
      <c r="B50" s="63" t="s">
        <v>1905</v>
      </c>
      <c r="C50">
        <f t="shared" ca="1" si="0"/>
        <v>0.25180000000000002</v>
      </c>
    </row>
    <row r="51" spans="2:3">
      <c r="B51" s="63" t="s">
        <v>1906</v>
      </c>
      <c r="C51">
        <f t="shared" ca="1" si="0"/>
        <v>9460.0060000000012</v>
      </c>
    </row>
    <row r="52" spans="2:3">
      <c r="B52" s="63" t="s">
        <v>1907</v>
      </c>
      <c r="C52">
        <f t="shared" ca="1" si="0"/>
        <v>9460.0060000000012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0.37175969217654731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0.24918808782576196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-5.4284998853001372E-2</v>
      </c>
    </row>
    <row r="62" spans="2:3">
      <c r="B62" s="63" t="s">
        <v>1917</v>
      </c>
      <c r="C62">
        <f t="shared" ca="1" si="0"/>
        <v>0.1164</v>
      </c>
    </row>
    <row r="63" spans="2:3">
      <c r="B63" s="63" t="s">
        <v>1918</v>
      </c>
      <c r="C63">
        <f t="shared" ca="1" si="0"/>
        <v>6.7777071466531891E-2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1.0361424017122131E-2</v>
      </c>
    </row>
    <row r="66" spans="2:3">
      <c r="B66" s="63" t="s">
        <v>1921</v>
      </c>
      <c r="C66">
        <f t="shared" ca="1" si="0"/>
        <v>0.10607432798178261</v>
      </c>
    </row>
    <row r="67" spans="2:3">
      <c r="B67" s="63" t="s">
        <v>1922</v>
      </c>
      <c r="C67">
        <f t="shared" ref="C67:C130" ca="1" si="1">INDIRECT(B67)</f>
        <v>-3.130648596408402E-3</v>
      </c>
    </row>
    <row r="68" spans="2:3">
      <c r="B68" s="63" t="s">
        <v>1923</v>
      </c>
      <c r="C68">
        <f t="shared" ca="1" si="1"/>
        <v>-0.14729999999999999</v>
      </c>
    </row>
    <row r="69" spans="2:3">
      <c r="B69" s="63" t="s">
        <v>1924</v>
      </c>
      <c r="C69">
        <f t="shared" ca="1" si="1"/>
        <v>23342.836797452735</v>
      </c>
    </row>
    <row r="70" spans="2:3">
      <c r="B70" s="63" t="s">
        <v>1925</v>
      </c>
      <c r="C70" t="str">
        <f t="shared" ca="1" si="1"/>
        <v xml:space="preserve">Cooperativa de Distribuição de Energia Elétrica Salto Donner 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09/2018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0.59392896442171172</v>
      </c>
    </row>
    <row r="75" spans="2:3">
      <c r="B75" s="63" t="s">
        <v>1930</v>
      </c>
      <c r="C75">
        <f t="shared" ca="1" si="1"/>
        <v>0.40607103557828816</v>
      </c>
    </row>
    <row r="76" spans="2:3">
      <c r="B76" s="63" t="s">
        <v>1931</v>
      </c>
      <c r="C76">
        <f t="shared" ca="1" si="1"/>
        <v>0.12690390450571218</v>
      </c>
    </row>
    <row r="77" spans="2:3">
      <c r="B77" s="63" t="s">
        <v>1932</v>
      </c>
      <c r="C77">
        <f t="shared" ca="1" si="1"/>
        <v>2.1821254624505453E-2</v>
      </c>
    </row>
    <row r="78" spans="2:3">
      <c r="B78" s="63" t="s">
        <v>1933</v>
      </c>
      <c r="C78">
        <f t="shared" ca="1" si="1"/>
        <v>1362.8416371428568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61438.618211552304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170.85448258501719</v>
      </c>
    </row>
    <row r="83" spans="2:3">
      <c r="B83" s="63" t="s">
        <v>1938</v>
      </c>
      <c r="C83">
        <f t="shared" ca="1" si="1"/>
        <v>5293897.0709500015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Cersad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733473.02962819999</v>
      </c>
    </row>
    <row r="92" spans="2:3">
      <c r="B92" s="64" t="s">
        <v>1947</v>
      </c>
      <c r="C92">
        <f t="shared" ca="1" si="1"/>
        <v>-0.1414</v>
      </c>
    </row>
    <row r="93" spans="2:3">
      <c r="B93" s="64" t="s">
        <v>1948</v>
      </c>
      <c r="C93">
        <f t="shared" ca="1" si="1"/>
        <v>0.53280000000000005</v>
      </c>
    </row>
    <row r="94" spans="2:3">
      <c r="B94" s="64" t="s">
        <v>1949</v>
      </c>
      <c r="C94">
        <f t="shared" ca="1" si="1"/>
        <v>-2.2100000000000002E-2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530642.62100121856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47032.909666828491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87951.055641393963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7866.529803671041</v>
      </c>
    </row>
    <row r="129" spans="2:3">
      <c r="B129" s="63" t="s">
        <v>1984</v>
      </c>
      <c r="C129">
        <f t="shared" ca="1" si="1"/>
        <v>9460.0060000000012</v>
      </c>
    </row>
    <row r="130" spans="2:3">
      <c r="B130" s="63" t="s">
        <v>1985</v>
      </c>
      <c r="C130">
        <f t="shared" ca="1" si="1"/>
        <v>5293897.0709500015</v>
      </c>
    </row>
    <row r="131" spans="2:3">
      <c r="B131" s="64" t="s">
        <v>1986</v>
      </c>
      <c r="C131" t="str">
        <f t="shared" ref="C131:C194" ca="1" si="2">INDIRECT(B131)</f>
        <v>Convencional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2022-09-27T18:17:06Z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